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Тариф 01.01.2023г." sheetId="6" r:id="rId1"/>
    <sheet name="Штат 01.01.2023г." sheetId="10" r:id="rId2"/>
    <sheet name="нагрузка" sheetId="11" r:id="rId3"/>
    <sheet name="тетради" sheetId="13" r:id="rId4"/>
  </sheets>
  <definedNames>
    <definedName name="_xlnm._FilterDatabase" localSheetId="0" hidden="1">'Тариф 01.01.2023г.'!$A$41:$AJ$84</definedName>
    <definedName name="БДО" localSheetId="1">#REF!</definedName>
    <definedName name="БДО">#REF!</definedName>
    <definedName name="_xlnm.Print_Area" localSheetId="0">'Тариф 01.01.2023г.'!$A$1:$BA$86</definedName>
    <definedName name="_xlnm.Print_Area" localSheetId="1">'Штат 01.01.2023г.'!$A$1:$AG$46</definedName>
  </definedNames>
  <calcPr calcId="144525"/>
</workbook>
</file>

<file path=xl/sharedStrings.xml><?xml version="1.0" encoding="utf-8"?>
<sst xmlns="http://schemas.openxmlformats.org/spreadsheetml/2006/main" count="667" uniqueCount="380">
  <si>
    <t>СОГЛАСОВАНО</t>
  </si>
  <si>
    <t>№ п/п</t>
  </si>
  <si>
    <t>Показатели на начало учебного года</t>
  </si>
  <si>
    <t>0</t>
  </si>
  <si>
    <t>1-4</t>
  </si>
  <si>
    <t>5-9</t>
  </si>
  <si>
    <t>10-11</t>
  </si>
  <si>
    <t>ВСЕГО</t>
  </si>
  <si>
    <t>УТВЕРЖДАЮ</t>
  </si>
  <si>
    <t>Число классов на 1 сентября</t>
  </si>
  <si>
    <t>Фонд заработной платы                      ______________</t>
  </si>
  <si>
    <t>Число кл-комлектов на 1 сентября</t>
  </si>
  <si>
    <t>И.о.руководителя ГУ «Отдела образования по Аршалынскому району управления образования Акмолинской области»</t>
  </si>
  <si>
    <t>Директор КГУ "Общеобразовательная школа села Волгодоновка отдела образования по Аршалынскому району управления образования Акмолинской области"</t>
  </si>
  <si>
    <t>Число учащихся на 1 сентября</t>
  </si>
  <si>
    <t>________________</t>
  </si>
  <si>
    <t>Йылал Г.М.</t>
  </si>
  <si>
    <t>Общее число препод. работы в неделю по тарификации в т.ч.</t>
  </si>
  <si>
    <t>_____________________________________Кусайнов А.А.</t>
  </si>
  <si>
    <t>оплачено из бюджета</t>
  </si>
  <si>
    <t>а)</t>
  </si>
  <si>
    <t>число часов по уч. плану</t>
  </si>
  <si>
    <t>б)</t>
  </si>
  <si>
    <t>число дополнительных часов</t>
  </si>
  <si>
    <t>НВП</t>
  </si>
  <si>
    <t>казахский  язык</t>
  </si>
  <si>
    <t>казахская  литература</t>
  </si>
  <si>
    <t xml:space="preserve">Т А Р И Ф И К А Ц И О Н Н Ы Й     С П И С О К </t>
  </si>
  <si>
    <t>хореография</t>
  </si>
  <si>
    <t>учителей и других работников</t>
  </si>
  <si>
    <t>инфоматика</t>
  </si>
  <si>
    <t>иностранный  язык</t>
  </si>
  <si>
    <t>трудовое  обучение</t>
  </si>
  <si>
    <t>Адрес школы:   Акмолинская область Аршалынский район с.Волгодоновка улица Центральная дом 5</t>
  </si>
  <si>
    <t>русский яз и литература</t>
  </si>
  <si>
    <t>основы экономических  знаний</t>
  </si>
  <si>
    <t>профиль</t>
  </si>
  <si>
    <t>прикл.курсы</t>
  </si>
  <si>
    <t>кол-во класс комплектов:</t>
  </si>
  <si>
    <t xml:space="preserve">обучение  на  дому  </t>
  </si>
  <si>
    <t>самопознание</t>
  </si>
  <si>
    <t>кол-во детей:</t>
  </si>
  <si>
    <t>спец.группа         самопознание</t>
  </si>
  <si>
    <t>основы  малого  бизнеса</t>
  </si>
  <si>
    <t>прочие, кружки</t>
  </si>
  <si>
    <t>спорт</t>
  </si>
  <si>
    <t>туризм</t>
  </si>
  <si>
    <t>НА 01.01.2023 УЧЕБНЫЙ ГОД</t>
  </si>
  <si>
    <t>№  п/п</t>
  </si>
  <si>
    <t>Ф.И.О</t>
  </si>
  <si>
    <t>Занимаемая должность преподаваемого  предмета</t>
  </si>
  <si>
    <t xml:space="preserve">Образование </t>
  </si>
  <si>
    <t>категория</t>
  </si>
  <si>
    <t>Категория</t>
  </si>
  <si>
    <t>Коэффициент</t>
  </si>
  <si>
    <t>Педагогический стаж</t>
  </si>
  <si>
    <t>Должностной оклад (17697* коэф)</t>
  </si>
  <si>
    <t>25% сельские</t>
  </si>
  <si>
    <t>100 % увеличения ДО</t>
  </si>
  <si>
    <t>Новый Должностной оклад  100%</t>
  </si>
  <si>
    <t xml:space="preserve">Заработная плата </t>
  </si>
  <si>
    <t>Доплаты за обучение на дому</t>
  </si>
  <si>
    <t>Доплаты за ОСО</t>
  </si>
  <si>
    <t>Доплаты за квалтест</t>
  </si>
  <si>
    <t>Доплаты полиязычие</t>
  </si>
  <si>
    <t>Дополнительная оплата</t>
  </si>
  <si>
    <t>Всего заработная плата в месяц</t>
  </si>
  <si>
    <t>1-4 классы</t>
  </si>
  <si>
    <t>5-9 классы</t>
  </si>
  <si>
    <t>10-11 классы</t>
  </si>
  <si>
    <t>1-11 классы</t>
  </si>
  <si>
    <t>количество часов инклюзив</t>
  </si>
  <si>
    <t>сумма доплаты инклюзив</t>
  </si>
  <si>
    <t>количество часов ОСО</t>
  </si>
  <si>
    <t>сумма доплаты ОСО</t>
  </si>
  <si>
    <t>количество часов</t>
  </si>
  <si>
    <t>%</t>
  </si>
  <si>
    <t>сумма доплаты квалтест</t>
  </si>
  <si>
    <t xml:space="preserve">Общее количество часов </t>
  </si>
  <si>
    <t>Общее количество часов языки</t>
  </si>
  <si>
    <t xml:space="preserve">классное  руководство 1-4 </t>
  </si>
  <si>
    <t>классное  руководство  5-11</t>
  </si>
  <si>
    <t>классное  руководство          50%               60%</t>
  </si>
  <si>
    <t>заведующий кабинетом</t>
  </si>
  <si>
    <t>заведующий мастерской</t>
  </si>
  <si>
    <t>за степень магистра</t>
  </si>
  <si>
    <t>физкультура</t>
  </si>
  <si>
    <t>за наставничество</t>
  </si>
  <si>
    <t>Прочие надбавки</t>
  </si>
  <si>
    <t>Тукенова  Еркен    Жарылкапбергеновна</t>
  </si>
  <si>
    <t>казахский язык и литература</t>
  </si>
  <si>
    <t>высшее</t>
  </si>
  <si>
    <t>педагог-исследователь</t>
  </si>
  <si>
    <t>В2-1</t>
  </si>
  <si>
    <t>37,4</t>
  </si>
  <si>
    <t>Гусева Любовь Юрьевна</t>
  </si>
  <si>
    <t>русский язык и литература</t>
  </si>
  <si>
    <t>28</t>
  </si>
  <si>
    <t>русский язык и литература вакансия</t>
  </si>
  <si>
    <t>Хасаншина Светлана Николаевна</t>
  </si>
  <si>
    <t>биология</t>
  </si>
  <si>
    <t xml:space="preserve"> педагог-исследователь</t>
  </si>
  <si>
    <t>14,2</t>
  </si>
  <si>
    <t xml:space="preserve">Снежицкая Светлана Александровна </t>
  </si>
  <si>
    <t>начальные классы</t>
  </si>
  <si>
    <t>39,4</t>
  </si>
  <si>
    <t>Колибаба Татьяна Михайловна</t>
  </si>
  <si>
    <t>английский язык</t>
  </si>
  <si>
    <t>35,4</t>
  </si>
  <si>
    <t>Журкин Ернар Балтабаевич</t>
  </si>
  <si>
    <t>физика</t>
  </si>
  <si>
    <t>педагог-эксперт</t>
  </si>
  <si>
    <t>В2-2</t>
  </si>
  <si>
    <t>5</t>
  </si>
  <si>
    <t>математика вакансия</t>
  </si>
  <si>
    <t>без категории</t>
  </si>
  <si>
    <t>В2-4</t>
  </si>
  <si>
    <t>2</t>
  </si>
  <si>
    <t>Хавдеш Фариза</t>
  </si>
  <si>
    <t>начальные классы, история</t>
  </si>
  <si>
    <t xml:space="preserve"> педагог-эксперт</t>
  </si>
  <si>
    <t>21,4</t>
  </si>
  <si>
    <t>Байманова Галия Бектемировна</t>
  </si>
  <si>
    <t>Байманова Гулсина Сабырбековна</t>
  </si>
  <si>
    <t>Йылал Гульсара Маралтаевна</t>
  </si>
  <si>
    <t>история</t>
  </si>
  <si>
    <t>Лапина Ирина Викторовна</t>
  </si>
  <si>
    <t>Жанти Алмасбек</t>
  </si>
  <si>
    <t>физкультура вакансия</t>
  </si>
  <si>
    <t>Бiржекен Айгуль Отаралиевна</t>
  </si>
  <si>
    <t xml:space="preserve">вакансия </t>
  </si>
  <si>
    <t>Павлова Людмила Борисовна</t>
  </si>
  <si>
    <t>математика</t>
  </si>
  <si>
    <t>первая</t>
  </si>
  <si>
    <t>Одарич Наталья Виллеевна</t>
  </si>
  <si>
    <t>33,7</t>
  </si>
  <si>
    <t>Акпанбаева А.К.</t>
  </si>
  <si>
    <t>химия</t>
  </si>
  <si>
    <t>педагог-модератор</t>
  </si>
  <si>
    <t>В2-3</t>
  </si>
  <si>
    <t>6,4</t>
  </si>
  <si>
    <t>Каким Жанболат Жанибекович</t>
  </si>
  <si>
    <t xml:space="preserve"> математика</t>
  </si>
  <si>
    <t>Тлемисова Сания Еркиновна</t>
  </si>
  <si>
    <t>5,4</t>
  </si>
  <si>
    <t>Абильхайырова Сандугаш Болатбаевна</t>
  </si>
  <si>
    <t>начальные классы,самопознание</t>
  </si>
  <si>
    <t xml:space="preserve"> педагог-модератор</t>
  </si>
  <si>
    <t>10,3</t>
  </si>
  <si>
    <t>Кенжалиев Асылбек Камалович</t>
  </si>
  <si>
    <t>география</t>
  </si>
  <si>
    <t>Гусев Глеб Владимирович</t>
  </si>
  <si>
    <t>3,4</t>
  </si>
  <si>
    <t>Сатанова Асель</t>
  </si>
  <si>
    <t>2,4</t>
  </si>
  <si>
    <t>Пархоменко Вера Николаевна</t>
  </si>
  <si>
    <t>36,7</t>
  </si>
  <si>
    <t>Закумбаев Аскар Бахитович</t>
  </si>
  <si>
    <t>вторая</t>
  </si>
  <si>
    <t>23,2</t>
  </si>
  <si>
    <t>информатика</t>
  </si>
  <si>
    <t>Джумабекова Ф.М.</t>
  </si>
  <si>
    <t>до года</t>
  </si>
  <si>
    <t>музыка/информ (вакан)</t>
  </si>
  <si>
    <t>Жаканова П.Б.</t>
  </si>
  <si>
    <t>Аманжолова Р.Б.</t>
  </si>
  <si>
    <t>Кусельбаева А.К.</t>
  </si>
  <si>
    <t>Кыдырбаева Т. У.</t>
  </si>
  <si>
    <t>Головатая Л.Н.</t>
  </si>
  <si>
    <t>38,8</t>
  </si>
  <si>
    <t>музыка</t>
  </si>
  <si>
    <t>ИТОГО:</t>
  </si>
  <si>
    <t>Директор школы:                 Йылал Г.М.</t>
  </si>
  <si>
    <t xml:space="preserve">Главный экономист                                              </t>
  </si>
  <si>
    <t xml:space="preserve">  "СОГЛАСОВАНО"</t>
  </si>
  <si>
    <t>Утверждаю</t>
  </si>
  <si>
    <t xml:space="preserve">штат в кол-ве   </t>
  </si>
  <si>
    <t>____ ед</t>
  </si>
  <si>
    <t>и.о. руководитель ГУ «Отдела образования по Аршалынскому району управления образования Акмолинской области»</t>
  </si>
  <si>
    <t xml:space="preserve">с мес.ФЗП </t>
  </si>
  <si>
    <t>_________</t>
  </si>
  <si>
    <t>_______________________  тенге</t>
  </si>
  <si>
    <t xml:space="preserve"> </t>
  </si>
  <si>
    <t>____________Кусайнов А.А.</t>
  </si>
  <si>
    <t>Директор КГУ «Общеобразовательная школа села Волгодоновка отдела образования по Аршалынскому району управления образования Акмолинской области»                                                  Йылал Г.М.</t>
  </si>
  <si>
    <t>"    "___________2023 год</t>
  </si>
  <si>
    <t>"    " ____________  2023 г</t>
  </si>
  <si>
    <t xml:space="preserve">       Штатное расписание</t>
  </si>
  <si>
    <t xml:space="preserve">                                                    КГУ «Общеобразовательная школа села Волгодоновка отдела образования по Аршалынскому району управления образования Акмолинской области»</t>
  </si>
  <si>
    <t>кол-во кл.компл:  20</t>
  </si>
  <si>
    <t>01.01.2023г.</t>
  </si>
  <si>
    <t>БЛЖ</t>
  </si>
  <si>
    <t xml:space="preserve">№№ </t>
  </si>
  <si>
    <t>Тегі, аты, әкесінің аты</t>
  </si>
  <si>
    <t>Лауазым атауы</t>
  </si>
  <si>
    <t>білімі</t>
  </si>
  <si>
    <t>санаты</t>
  </si>
  <si>
    <t>мамандығы бойынша еңбек өтілі</t>
  </si>
  <si>
    <t>жалақы есептеу коэффициенті</t>
  </si>
  <si>
    <t>штаттық бірлік</t>
  </si>
  <si>
    <t>Қызметтік айлықақы</t>
  </si>
  <si>
    <t>Ауылдық жердегі жұмысы үшін арттыру</t>
  </si>
  <si>
    <t>25% қоса есептелгендегі еңбек ақы жиынтығы</t>
  </si>
  <si>
    <t>ҚОСЫМША АҚЫЛАР МЕН ҮСТЕМЕАҚЫЛАР</t>
  </si>
  <si>
    <t>Айлық еңбек ақы, барлығы</t>
  </si>
  <si>
    <t>Кәсіптік, біліктілік санаты, разряды</t>
  </si>
  <si>
    <t>санаты бойынша</t>
  </si>
  <si>
    <t>45-100% көтерме ақы</t>
  </si>
  <si>
    <t>квалтес</t>
  </si>
  <si>
    <t>Оқулықтардың кiтапханалық қорымен жұмыс істегенi үшін</t>
  </si>
  <si>
    <t>20%хлор</t>
  </si>
  <si>
    <t>Сыныптық біліктілігі үшін</t>
  </si>
  <si>
    <t>Мереке кундері үшін</t>
  </si>
  <si>
    <t>түнгі жұмыс үшін</t>
  </si>
  <si>
    <t>Ерекше еңбек жағдайлары үшін үстемеақы 10%</t>
  </si>
  <si>
    <t>Қосымша төлемдердің жиынтық сомасы</t>
  </si>
  <si>
    <t>пайыз</t>
  </si>
  <si>
    <t>сомасы</t>
  </si>
  <si>
    <t>бірлік</t>
  </si>
  <si>
    <t>Сомасы</t>
  </si>
  <si>
    <t>кун саны</t>
  </si>
  <si>
    <t>төлеуге жататын сағат саны</t>
  </si>
  <si>
    <t>Йылал Г. М.</t>
  </si>
  <si>
    <t>мектеп директоры</t>
  </si>
  <si>
    <t>жоғарғы</t>
  </si>
  <si>
    <t>А1-3</t>
  </si>
  <si>
    <t>педагог -эксперт</t>
  </si>
  <si>
    <t>Хасаншина С. Н.</t>
  </si>
  <si>
    <t>зам по УВР</t>
  </si>
  <si>
    <t>А1-3-1</t>
  </si>
  <si>
    <t>Журкин Е. Б.</t>
  </si>
  <si>
    <t>зам по ВР</t>
  </si>
  <si>
    <t>Гусев В. А.</t>
  </si>
  <si>
    <t>зам.поАХД</t>
  </si>
  <si>
    <t>среднее специальное</t>
  </si>
  <si>
    <t>А3-4</t>
  </si>
  <si>
    <t>Закумбаев А. Б.</t>
  </si>
  <si>
    <t>АӘД</t>
  </si>
  <si>
    <t>Карнаухова А. А.</t>
  </si>
  <si>
    <t>вожатый</t>
  </si>
  <si>
    <t>В4-4</t>
  </si>
  <si>
    <t>б/к</t>
  </si>
  <si>
    <t>Каракольчева К. А.</t>
  </si>
  <si>
    <t>логопед</t>
  </si>
  <si>
    <t>2.11</t>
  </si>
  <si>
    <t>вакансия</t>
  </si>
  <si>
    <t>психолог</t>
  </si>
  <si>
    <t>Кусельбаева Г. И.</t>
  </si>
  <si>
    <t>кітапхана менгерушісі</t>
  </si>
  <si>
    <t>С-3</t>
  </si>
  <si>
    <t>Медетбекова Замира Бекайдаровна</t>
  </si>
  <si>
    <t>іс жүргізуші</t>
  </si>
  <si>
    <t>D</t>
  </si>
  <si>
    <t>Хлопова А. Я.</t>
  </si>
  <si>
    <t>еден жуушы</t>
  </si>
  <si>
    <t>орта</t>
  </si>
  <si>
    <t>Любименко Н. В.</t>
  </si>
  <si>
    <t>Хлопов О. В.</t>
  </si>
  <si>
    <t>күзетші</t>
  </si>
  <si>
    <t>Бондарев В. В.</t>
  </si>
  <si>
    <t>Садыков Н. Р.</t>
  </si>
  <si>
    <t>Титаренко И. Н.</t>
  </si>
  <si>
    <t>вахтер</t>
  </si>
  <si>
    <t>Гусев Вл. А.</t>
  </si>
  <si>
    <t>слесарь сантехник</t>
  </si>
  <si>
    <t>арнаулы орта</t>
  </si>
  <si>
    <t>Гусева В. В.</t>
  </si>
  <si>
    <t>кочегар</t>
  </si>
  <si>
    <t>Жиынтығы:</t>
  </si>
  <si>
    <t>Мектеп директоры.:       Йылал Г.М.</t>
  </si>
  <si>
    <t>Бас экономист:</t>
  </si>
  <si>
    <t>Акылбаев Б.</t>
  </si>
  <si>
    <t>Ф.И.О. сокращенно</t>
  </si>
  <si>
    <t>Предмет</t>
  </si>
  <si>
    <t>Ставка</t>
  </si>
  <si>
    <t>факультатив</t>
  </si>
  <si>
    <t>кружки</t>
  </si>
  <si>
    <t>1а</t>
  </si>
  <si>
    <t>1б</t>
  </si>
  <si>
    <t>2а</t>
  </si>
  <si>
    <t>2б</t>
  </si>
  <si>
    <t>3а</t>
  </si>
  <si>
    <t>3б</t>
  </si>
  <si>
    <t>4а</t>
  </si>
  <si>
    <t>4б</t>
  </si>
  <si>
    <t>1-4 кл</t>
  </si>
  <si>
    <t>5б</t>
  </si>
  <si>
    <t>5а</t>
  </si>
  <si>
    <t>6б</t>
  </si>
  <si>
    <t>6а</t>
  </si>
  <si>
    <t>7б</t>
  </si>
  <si>
    <t>7а</t>
  </si>
  <si>
    <t>8а</t>
  </si>
  <si>
    <t>8б</t>
  </si>
  <si>
    <t>9а</t>
  </si>
  <si>
    <t>9б</t>
  </si>
  <si>
    <t>5-9 кл</t>
  </si>
  <si>
    <t>10а</t>
  </si>
  <si>
    <t>10б</t>
  </si>
  <si>
    <t>11а</t>
  </si>
  <si>
    <t>11 б</t>
  </si>
  <si>
    <t>10-11кл</t>
  </si>
  <si>
    <t>итого</t>
  </si>
  <si>
    <t>11б</t>
  </si>
  <si>
    <t>Снежицкая С. А.</t>
  </si>
  <si>
    <t>нач.классы</t>
  </si>
  <si>
    <t>нач.классы/каз.яз</t>
  </si>
  <si>
    <t>Пархоменко В. Н.</t>
  </si>
  <si>
    <t>Байманова Г.С.</t>
  </si>
  <si>
    <t>нач.классы/инф</t>
  </si>
  <si>
    <t>Абильхайырова С. Б.</t>
  </si>
  <si>
    <t>Лапина И.В.</t>
  </si>
  <si>
    <t>Колибаба Т. М.</t>
  </si>
  <si>
    <t>англ.яз.</t>
  </si>
  <si>
    <t>Тлемисова С. Е.</t>
  </si>
  <si>
    <t>англ.яз./труд</t>
  </si>
  <si>
    <t>Кенжалиев А. К.</t>
  </si>
  <si>
    <t>информа</t>
  </si>
  <si>
    <t>Хасаншина С.Н.</t>
  </si>
  <si>
    <t>информатик</t>
  </si>
  <si>
    <t>Головатая Л.Б.</t>
  </si>
  <si>
    <t>Гусева Л. Ю.</t>
  </si>
  <si>
    <t>рус.яз и лит.</t>
  </si>
  <si>
    <t>Байманова Г.Б.</t>
  </si>
  <si>
    <t>русская речь</t>
  </si>
  <si>
    <t>Тукенова Е. Ж.</t>
  </si>
  <si>
    <t>каз.яз и лит.</t>
  </si>
  <si>
    <t>истор\геогр/религ</t>
  </si>
  <si>
    <t>Павлова Л. Б.</t>
  </si>
  <si>
    <t>Каким Жанболат</t>
  </si>
  <si>
    <t>каз.яз. и лит.</t>
  </si>
  <si>
    <t>физкульт.</t>
  </si>
  <si>
    <t>Гусев Глеб</t>
  </si>
  <si>
    <t>Биржикен А</t>
  </si>
  <si>
    <t>каз лит и каз.яз</t>
  </si>
  <si>
    <t>Сатанова А.С.</t>
  </si>
  <si>
    <t>Ишмухаммедова Ұ.Т.</t>
  </si>
  <si>
    <t>Закумбаев Аскар Б.</t>
  </si>
  <si>
    <t>Итого:</t>
  </si>
  <si>
    <t>Директор школы:</t>
  </si>
  <si>
    <t>нвп 0,5</t>
  </si>
  <si>
    <t xml:space="preserve">                     </t>
  </si>
  <si>
    <t>Завуч школы:</t>
  </si>
  <si>
    <t>Проверка тетрадей по Волгодоновской СШ на   01.01.2023г</t>
  </si>
  <si>
    <t>Ф.И.О.</t>
  </si>
  <si>
    <t>предмет</t>
  </si>
  <si>
    <t>всего</t>
  </si>
  <si>
    <t>кол-во детей</t>
  </si>
  <si>
    <t>Снежицкая С.А.</t>
  </si>
  <si>
    <t>1 кл</t>
  </si>
  <si>
    <t>2 кл</t>
  </si>
  <si>
    <t>Пархоменко В.Н.</t>
  </si>
  <si>
    <t>3 кл</t>
  </si>
  <si>
    <t>Колибаба Т.М.</t>
  </si>
  <si>
    <t>англ</t>
  </si>
  <si>
    <t xml:space="preserve">Байманова Г.Б. </t>
  </si>
  <si>
    <t>рус</t>
  </si>
  <si>
    <t xml:space="preserve">Гусева Л.Ю. </t>
  </si>
  <si>
    <t>Кыдырбаева Т .У.</t>
  </si>
  <si>
    <t>каз</t>
  </si>
  <si>
    <t>Биржикен А.О.</t>
  </si>
  <si>
    <t>Тукенова Е.Ж.</t>
  </si>
  <si>
    <t xml:space="preserve">Павлова Л.Б. </t>
  </si>
  <si>
    <t>мат</t>
  </si>
  <si>
    <t>Сатанова</t>
  </si>
  <si>
    <t xml:space="preserve">Лапина И.В. </t>
  </si>
  <si>
    <t>4кл</t>
  </si>
  <si>
    <t>биол</t>
  </si>
  <si>
    <t>Кенжегулова К.Е.</t>
  </si>
  <si>
    <t>4 кл</t>
  </si>
  <si>
    <t>Хавдеш Ф.</t>
  </si>
  <si>
    <t>Абильхайирова С.</t>
  </si>
  <si>
    <t>Тлемисова С.Е.</t>
  </si>
  <si>
    <t>Журкин Ернар</t>
  </si>
  <si>
    <t>Жаканова П</t>
  </si>
  <si>
    <t>2,,5</t>
  </si>
  <si>
    <t>хим</t>
  </si>
  <si>
    <t>Аманжолова</t>
  </si>
  <si>
    <t>биол.</t>
  </si>
  <si>
    <t xml:space="preserve">Завуч школы:                                </t>
  </si>
</sst>
</file>

<file path=xl/styles.xml><?xml version="1.0" encoding="utf-8"?>
<styleSheet xmlns="http://schemas.openxmlformats.org/spreadsheetml/2006/main">
  <numFmts count="10">
    <numFmt numFmtId="176" formatCode="_-* #,##0.00_р_._-;\-* #,##0.00_р_._-;_-* &quot;-&quot;??_р_._-;_-@_-"/>
    <numFmt numFmtId="177" formatCode="_-* #,##0_р_._-;\-* #,##0_р_._-;_-* &quot;-&quot;??_р_._-;_-@_-"/>
    <numFmt numFmtId="44" formatCode="_(&quot;$&quot;* #,##0.00_);_(&quot;$&quot;* \(#,##0.00\);_(&quot;$&quot;* &quot;-&quot;??_);_(@_)"/>
    <numFmt numFmtId="178" formatCode="_ * #,##0_ ;_ * \-#,##0_ ;_ * &quot;-&quot;_ ;_ @_ "/>
    <numFmt numFmtId="42" formatCode="_(&quot;$&quot;* #,##0_);_(&quot;$&quot;* \(#,##0\);_(&quot;$&quot;* &quot;-&quot;_);_(@_)"/>
    <numFmt numFmtId="179" formatCode="dd\-mmm"/>
    <numFmt numFmtId="180" formatCode="0.0"/>
    <numFmt numFmtId="181" formatCode="#,##0.0_ ;\-#,##0.0\ "/>
    <numFmt numFmtId="182" formatCode="#,##0.00_ ;\-#,##0.00\ "/>
    <numFmt numFmtId="183" formatCode="_-* #,##0.0_р_._-;\-* #,##0.0_р_._-;_-* &quot;-&quot;??_р_._-;_-@_-"/>
  </numFmts>
  <fonts count="59">
    <font>
      <sz val="10"/>
      <name val="Arial Cyr"/>
      <charset val="204"/>
    </font>
    <font>
      <sz val="10"/>
      <name val="Arial"/>
      <charset val="204"/>
    </font>
    <font>
      <sz val="12"/>
      <name val="Arial Cyr"/>
      <charset val="204"/>
    </font>
    <font>
      <b/>
      <sz val="12"/>
      <name val="Times New Roman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Times New Roman"/>
      <charset val="204"/>
    </font>
    <font>
      <sz val="18"/>
      <name val="Times New Roman"/>
      <charset val="204"/>
    </font>
    <font>
      <sz val="18"/>
      <name val="Arial Cyr"/>
      <charset val="204"/>
    </font>
    <font>
      <b/>
      <sz val="18"/>
      <name val="Times New Roman"/>
      <charset val="204"/>
    </font>
    <font>
      <sz val="18"/>
      <color rgb="FFFF0000"/>
      <name val="Times New Roman"/>
      <charset val="204"/>
    </font>
    <font>
      <b/>
      <sz val="18"/>
      <color theme="5" tint="0.399945066682943"/>
      <name val="Times New Roman"/>
      <charset val="204"/>
    </font>
    <font>
      <sz val="18"/>
      <color theme="5" tint="0.399945066682943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1"/>
      <color theme="1"/>
      <name val="Calibri"/>
      <charset val="134"/>
      <scheme val="minor"/>
    </font>
    <font>
      <sz val="8"/>
      <name val="Times New Roman"/>
      <charset val="204"/>
    </font>
    <font>
      <b/>
      <sz val="11"/>
      <name val="Arial Cyr"/>
      <charset val="204"/>
    </font>
    <font>
      <b/>
      <sz val="13"/>
      <name val="Times New Roman"/>
      <charset val="204"/>
    </font>
    <font>
      <sz val="14"/>
      <name val="Arial Cyr"/>
      <charset val="204"/>
    </font>
    <font>
      <sz val="22.5"/>
      <name val="Arial Cyr"/>
      <charset val="204"/>
    </font>
    <font>
      <sz val="28"/>
      <name val="Arial Cyr"/>
      <charset val="204"/>
    </font>
    <font>
      <sz val="22.5"/>
      <name val="Times New Roman"/>
      <charset val="204"/>
    </font>
    <font>
      <b/>
      <sz val="20"/>
      <name val="Times New Roman"/>
      <charset val="204"/>
    </font>
    <font>
      <sz val="20"/>
      <name val="Times New Roman"/>
      <charset val="204"/>
    </font>
    <font>
      <sz val="20"/>
      <name val="Arial Cyr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sz val="18"/>
      <name val="Calibri"/>
      <charset val="204"/>
    </font>
    <font>
      <b/>
      <sz val="22.5"/>
      <name val="Times New Roman"/>
      <charset val="204"/>
    </font>
    <font>
      <sz val="22.5"/>
      <color indexed="22"/>
      <name val="Times New Roman"/>
      <charset val="204"/>
    </font>
    <font>
      <i/>
      <sz val="20"/>
      <name val="Times New Roman"/>
      <charset val="204"/>
    </font>
    <font>
      <sz val="36"/>
      <name val="Times New Roman"/>
      <charset val="204"/>
    </font>
    <font>
      <b/>
      <sz val="10"/>
      <name val="Times New Roman"/>
      <charset val="204"/>
    </font>
    <font>
      <sz val="28"/>
      <name val="Times New Roman"/>
      <charset val="204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798577837458"/>
        <bgColor indexed="64"/>
      </patternFill>
    </fill>
    <fill>
      <patternFill patternType="solid">
        <fgColor theme="8" tint="0.79979857783745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44" fillId="21" borderId="0" applyNumberFormat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176" fontId="1" fillId="0" borderId="0" applyFill="0" applyBorder="0" applyAlignment="0" applyProtection="0"/>
    <xf numFmtId="0" fontId="44" fillId="2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48" fillId="22" borderId="4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/>
    <xf numFmtId="0" fontId="44" fillId="2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0" fillId="32" borderId="3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18" borderId="36" applyNumberFormat="0" applyAlignment="0" applyProtection="0">
      <alignment vertical="center"/>
    </xf>
    <xf numFmtId="0" fontId="56" fillId="38" borderId="42" applyNumberFormat="0" applyAlignment="0" applyProtection="0">
      <alignment vertical="center"/>
    </xf>
    <xf numFmtId="0" fontId="45" fillId="22" borderId="36" applyNumberFormat="0" applyAlignment="0" applyProtection="0">
      <alignment vertical="center"/>
    </xf>
    <xf numFmtId="0" fontId="57" fillId="0" borderId="4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0" fillId="0" borderId="0"/>
    <xf numFmtId="0" fontId="44" fillId="43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0" borderId="0"/>
    <xf numFmtId="0" fontId="43" fillId="19" borderId="0" applyNumberFormat="0" applyBorder="0" applyAlignment="0" applyProtection="0">
      <alignment vertical="center"/>
    </xf>
    <xf numFmtId="0" fontId="1" fillId="0" borderId="0"/>
    <xf numFmtId="176" fontId="1" fillId="0" borderId="0" applyFill="0" applyBorder="0" applyAlignment="0" applyProtection="0"/>
  </cellStyleXfs>
  <cellXfs count="547">
    <xf numFmtId="0" fontId="0" fillId="0" borderId="0" xfId="0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1" xfId="0" applyFont="1" applyFill="1" applyBorder="1" applyAlignment="1"/>
    <xf numFmtId="0" fontId="6" fillId="0" borderId="2" xfId="52" applyFont="1" applyFill="1" applyBorder="1" applyAlignment="1" applyProtection="1">
      <alignment horizontal="left" wrapText="1"/>
    </xf>
    <xf numFmtId="0" fontId="7" fillId="0" borderId="2" xfId="0" applyFont="1" applyFill="1" applyBorder="1" applyAlignment="1"/>
    <xf numFmtId="0" fontId="0" fillId="0" borderId="2" xfId="0" applyFont="1" applyFill="1" applyBorder="1" applyAlignment="1"/>
    <xf numFmtId="0" fontId="4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0" fillId="0" borderId="4" xfId="0" applyFont="1" applyFill="1" applyBorder="1" applyAlignment="1"/>
    <xf numFmtId="0" fontId="6" fillId="0" borderId="2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 wrapText="1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2" fillId="2" borderId="2" xfId="0" applyFont="1" applyFill="1" applyBorder="1" applyAlignment="1"/>
    <xf numFmtId="0" fontId="0" fillId="2" borderId="2" xfId="0" applyFont="1" applyFill="1" applyBorder="1" applyAlignment="1"/>
    <xf numFmtId="0" fontId="6" fillId="2" borderId="4" xfId="0" applyFont="1" applyFill="1" applyBorder="1" applyAlignment="1"/>
    <xf numFmtId="0" fontId="2" fillId="2" borderId="5" xfId="0" applyFont="1" applyFill="1" applyBorder="1" applyAlignment="1"/>
    <xf numFmtId="0" fontId="0" fillId="2" borderId="5" xfId="0" applyFont="1" applyFill="1" applyBorder="1" applyAlignment="1"/>
    <xf numFmtId="0" fontId="8" fillId="2" borderId="5" xfId="0" applyFont="1" applyFill="1" applyBorder="1" applyAlignment="1"/>
    <xf numFmtId="0" fontId="9" fillId="0" borderId="0" xfId="0" applyFont="1" applyFill="1" applyAlignment="1"/>
    <xf numFmtId="0" fontId="2" fillId="3" borderId="0" xfId="0" applyFont="1" applyFill="1" applyAlignment="1"/>
    <xf numFmtId="0" fontId="3" fillId="0" borderId="1" xfId="0" applyFont="1" applyFill="1" applyBorder="1" applyAlignment="1"/>
    <xf numFmtId="0" fontId="3" fillId="3" borderId="1" xfId="0" applyFont="1" applyFill="1" applyBorder="1" applyAlignment="1"/>
    <xf numFmtId="179" fontId="3" fillId="0" borderId="1" xfId="0" applyNumberFormat="1" applyFont="1" applyFill="1" applyBorder="1" applyAlignment="1"/>
    <xf numFmtId="0" fontId="9" fillId="3" borderId="1" xfId="0" applyFont="1" applyFill="1" applyBorder="1" applyAlignment="1"/>
    <xf numFmtId="0" fontId="9" fillId="0" borderId="2" xfId="0" applyFont="1" applyFill="1" applyBorder="1" applyAlignment="1"/>
    <xf numFmtId="0" fontId="9" fillId="3" borderId="2" xfId="0" applyFont="1" applyFill="1" applyBorder="1" applyAlignment="1"/>
    <xf numFmtId="0" fontId="9" fillId="0" borderId="1" xfId="0" applyFont="1" applyFill="1" applyBorder="1" applyAlignment="1"/>
    <xf numFmtId="0" fontId="3" fillId="0" borderId="2" xfId="0" applyFont="1" applyFill="1" applyBorder="1" applyAlignment="1"/>
    <xf numFmtId="0" fontId="9" fillId="0" borderId="4" xfId="0" applyFont="1" applyFill="1" applyBorder="1" applyAlignment="1"/>
    <xf numFmtId="0" fontId="3" fillId="0" borderId="6" xfId="0" applyFont="1" applyFill="1" applyBorder="1" applyAlignment="1"/>
    <xf numFmtId="0" fontId="9" fillId="4" borderId="2" xfId="0" applyFont="1" applyFill="1" applyBorder="1" applyAlignment="1"/>
    <xf numFmtId="2" fontId="9" fillId="3" borderId="2" xfId="0" applyNumberFormat="1" applyFont="1" applyFill="1" applyBorder="1" applyAlignment="1"/>
    <xf numFmtId="0" fontId="9" fillId="2" borderId="1" xfId="0" applyFont="1" applyFill="1" applyBorder="1" applyAlignment="1"/>
    <xf numFmtId="0" fontId="9" fillId="2" borderId="2" xfId="0" applyFont="1" applyFill="1" applyBorder="1" applyAlignment="1"/>
    <xf numFmtId="0" fontId="9" fillId="2" borderId="5" xfId="0" applyFont="1" applyFill="1" applyBorder="1" applyAlignment="1"/>
    <xf numFmtId="2" fontId="9" fillId="2" borderId="5" xfId="0" applyNumberFormat="1" applyFont="1" applyFill="1" applyBorder="1" applyAlignment="1"/>
    <xf numFmtId="0" fontId="3" fillId="2" borderId="1" xfId="0" applyFont="1" applyFill="1" applyBorder="1" applyAlignment="1"/>
    <xf numFmtId="0" fontId="3" fillId="0" borderId="2" xfId="0" applyNumberFormat="1" applyFont="1" applyFill="1" applyBorder="1" applyAlignment="1"/>
    <xf numFmtId="0" fontId="3" fillId="0" borderId="4" xfId="0" applyFont="1" applyFill="1" applyBorder="1" applyAlignment="1"/>
    <xf numFmtId="2" fontId="9" fillId="2" borderId="2" xfId="0" applyNumberFormat="1" applyFont="1" applyFill="1" applyBorder="1" applyAlignment="1"/>
    <xf numFmtId="2" fontId="9" fillId="0" borderId="2" xfId="0" applyNumberFormat="1" applyFont="1" applyFill="1" applyBorder="1" applyAlignment="1"/>
    <xf numFmtId="0" fontId="9" fillId="0" borderId="6" xfId="0" applyFont="1" applyFill="1" applyBorder="1" applyAlignment="1"/>
    <xf numFmtId="0" fontId="10" fillId="0" borderId="0" xfId="0" applyFont="1" applyFill="1" applyAlignment="1"/>
    <xf numFmtId="0" fontId="10" fillId="5" borderId="0" xfId="0" applyFont="1" applyFill="1" applyAlignment="1"/>
    <xf numFmtId="0" fontId="11" fillId="0" borderId="0" xfId="0" applyFont="1"/>
    <xf numFmtId="0" fontId="12" fillId="4" borderId="7" xfId="0" applyNumberFormat="1" applyFont="1" applyFill="1" applyBorder="1" applyAlignment="1" applyProtection="1"/>
    <xf numFmtId="0" fontId="10" fillId="4" borderId="7" xfId="0" applyNumberFormat="1" applyFont="1" applyFill="1" applyBorder="1" applyAlignment="1" applyProtection="1"/>
    <xf numFmtId="0" fontId="12" fillId="4" borderId="8" xfId="0" applyNumberFormat="1" applyFont="1" applyFill="1" applyBorder="1" applyAlignment="1" applyProtection="1">
      <alignment horizontal="center"/>
    </xf>
    <xf numFmtId="0" fontId="12" fillId="4" borderId="4" xfId="0" applyNumberFormat="1" applyFont="1" applyFill="1" applyBorder="1" applyAlignment="1" applyProtection="1"/>
    <xf numFmtId="0" fontId="10" fillId="4" borderId="4" xfId="0" applyNumberFormat="1" applyFont="1" applyFill="1" applyBorder="1" applyAlignment="1" applyProtection="1"/>
    <xf numFmtId="0" fontId="10" fillId="5" borderId="2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2" fillId="6" borderId="2" xfId="0" applyNumberFormat="1" applyFont="1" applyFill="1" applyBorder="1" applyAlignment="1" applyProtection="1">
      <alignment horizontal="left" vertical="center"/>
      <protection locked="0"/>
    </xf>
    <xf numFmtId="0" fontId="12" fillId="4" borderId="2" xfId="0" applyNumberFormat="1" applyFont="1" applyFill="1" applyBorder="1" applyAlignment="1" applyProtection="1">
      <alignment wrapText="1"/>
      <protection locked="0"/>
    </xf>
    <xf numFmtId="0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0" fontId="10" fillId="4" borderId="2" xfId="0" applyNumberFormat="1" applyFont="1" applyFill="1" applyBorder="1" applyAlignment="1" applyProtection="1">
      <alignment horizontal="center"/>
      <protection locked="0"/>
    </xf>
    <xf numFmtId="0" fontId="12" fillId="7" borderId="2" xfId="0" applyNumberFormat="1" applyFont="1" applyFill="1" applyBorder="1" applyAlignment="1" applyProtection="1">
      <alignment horizontal="left" vertical="center"/>
      <protection locked="0"/>
    </xf>
    <xf numFmtId="0" fontId="10" fillId="8" borderId="2" xfId="0" applyNumberFormat="1" applyFont="1" applyFill="1" applyBorder="1" applyAlignment="1" applyProtection="1">
      <alignment horizontal="center"/>
      <protection locked="0"/>
    </xf>
    <xf numFmtId="1" fontId="10" fillId="4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2" fillId="7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10" fillId="9" borderId="2" xfId="0" applyNumberFormat="1" applyFont="1" applyFill="1" applyBorder="1" applyAlignment="1" applyProtection="1">
      <alignment horizontal="center"/>
      <protection locked="0"/>
    </xf>
    <xf numFmtId="0" fontId="12" fillId="10" borderId="2" xfId="0" applyNumberFormat="1" applyFont="1" applyFill="1" applyBorder="1" applyAlignment="1" applyProtection="1">
      <alignment horizontal="left" vertical="center"/>
      <protection locked="0"/>
    </xf>
    <xf numFmtId="0" fontId="12" fillId="4" borderId="2" xfId="0" applyNumberFormat="1" applyFont="1" applyFill="1" applyBorder="1" applyAlignment="1" applyProtection="1">
      <alignment vertical="top" wrapText="1"/>
      <protection locked="0"/>
    </xf>
    <xf numFmtId="0" fontId="12" fillId="7" borderId="1" xfId="0" applyNumberFormat="1" applyFont="1" applyFill="1" applyBorder="1" applyAlignment="1" applyProtection="1">
      <alignment vertical="center"/>
      <protection locked="0"/>
    </xf>
    <xf numFmtId="0" fontId="12" fillId="7" borderId="2" xfId="0" applyNumberFormat="1" applyFont="1" applyFill="1" applyBorder="1" applyAlignment="1" applyProtection="1">
      <alignment vertical="center"/>
      <protection locked="0"/>
    </xf>
    <xf numFmtId="0" fontId="12" fillId="7" borderId="4" xfId="0" applyNumberFormat="1" applyFont="1" applyFill="1" applyBorder="1" applyAlignment="1" applyProtection="1">
      <alignment horizontal="left" vertical="center"/>
      <protection locked="0"/>
    </xf>
    <xf numFmtId="0" fontId="12" fillId="4" borderId="2" xfId="0" applyNumberFormat="1" applyFont="1" applyFill="1" applyBorder="1" applyAlignment="1" applyProtection="1">
      <alignment horizontal="left" wrapText="1"/>
      <protection locked="0"/>
    </xf>
    <xf numFmtId="0" fontId="12" fillId="4" borderId="1" xfId="0" applyNumberFormat="1" applyFont="1" applyFill="1" applyBorder="1" applyAlignment="1" applyProtection="1">
      <alignment horizontal="center" wrapText="1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NumberFormat="1" applyFont="1" applyFill="1" applyBorder="1" applyAlignment="1" applyProtection="1">
      <alignment vertical="center"/>
    </xf>
    <xf numFmtId="0" fontId="10" fillId="4" borderId="9" xfId="0" applyNumberFormat="1" applyFont="1" applyFill="1" applyBorder="1" applyAlignment="1" applyProtection="1"/>
    <xf numFmtId="0" fontId="12" fillId="4" borderId="9" xfId="0" applyNumberFormat="1" applyFont="1" applyFill="1" applyBorder="1" applyAlignment="1" applyProtection="1">
      <alignment horizontal="center"/>
    </xf>
    <xf numFmtId="180" fontId="12" fillId="5" borderId="2" xfId="0" applyNumberFormat="1" applyFont="1" applyFill="1" applyBorder="1" applyAlignment="1" applyProtection="1">
      <alignment horizontal="center" vertical="center"/>
    </xf>
    <xf numFmtId="180" fontId="12" fillId="4" borderId="2" xfId="0" applyNumberFormat="1" applyFont="1" applyFill="1" applyBorder="1" applyAlignment="1" applyProtection="1">
      <alignment horizontal="center" vertical="center"/>
    </xf>
    <xf numFmtId="1" fontId="12" fillId="4" borderId="2" xfId="0" applyNumberFormat="1" applyFont="1" applyFill="1" applyBorder="1" applyAlignment="1" applyProtection="1">
      <alignment horizontal="center" vertical="center"/>
    </xf>
    <xf numFmtId="1" fontId="12" fillId="5" borderId="2" xfId="0" applyNumberFormat="1" applyFont="1" applyFill="1" applyBorder="1" applyAlignment="1" applyProtection="1">
      <alignment horizontal="center" vertical="center"/>
    </xf>
    <xf numFmtId="0" fontId="12" fillId="4" borderId="0" xfId="50" applyNumberFormat="1" applyFont="1" applyFill="1" applyBorder="1" applyAlignment="1" applyProtection="1">
      <protection locked="0"/>
    </xf>
    <xf numFmtId="0" fontId="12" fillId="4" borderId="0" xfId="0" applyNumberFormat="1" applyFont="1" applyFill="1" applyAlignment="1" applyProtection="1">
      <protection locked="0"/>
    </xf>
    <xf numFmtId="0" fontId="10" fillId="4" borderId="0" xfId="0" applyNumberFormat="1" applyFont="1" applyFill="1" applyAlignment="1" applyProtection="1">
      <protection locked="0"/>
    </xf>
    <xf numFmtId="0" fontId="12" fillId="4" borderId="0" xfId="50" applyNumberFormat="1" applyFont="1" applyFill="1" applyAlignment="1" applyProtection="1">
      <protection locked="0"/>
    </xf>
    <xf numFmtId="0" fontId="12" fillId="4" borderId="2" xfId="0" applyNumberFormat="1" applyFont="1" applyFill="1" applyBorder="1" applyAlignment="1" applyProtection="1"/>
    <xf numFmtId="0" fontId="10" fillId="4" borderId="2" xfId="0" applyNumberFormat="1" applyFont="1" applyFill="1" applyBorder="1" applyAlignment="1" applyProtection="1"/>
    <xf numFmtId="0" fontId="10" fillId="5" borderId="2" xfId="0" applyNumberFormat="1" applyFont="1" applyFill="1" applyBorder="1" applyAlignment="1" applyProtection="1">
      <alignment horizontal="center"/>
    </xf>
    <xf numFmtId="0" fontId="12" fillId="4" borderId="2" xfId="0" applyNumberFormat="1" applyFont="1" applyFill="1" applyBorder="1" applyAlignment="1" applyProtection="1">
      <alignment horizontal="center"/>
    </xf>
    <xf numFmtId="0" fontId="12" fillId="5" borderId="2" xfId="0" applyNumberFormat="1" applyFont="1" applyFill="1" applyBorder="1" applyAlignment="1" applyProtection="1">
      <alignment horizontal="center"/>
    </xf>
    <xf numFmtId="0" fontId="13" fillId="5" borderId="2" xfId="0" applyNumberFormat="1" applyFont="1" applyFill="1" applyBorder="1" applyAlignment="1" applyProtection="1">
      <alignment horizontal="center"/>
      <protection locked="0"/>
    </xf>
    <xf numFmtId="0" fontId="10" fillId="4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</xf>
    <xf numFmtId="0" fontId="0" fillId="0" borderId="0" xfId="0" applyNumberFormat="1"/>
    <xf numFmtId="2" fontId="10" fillId="5" borderId="2" xfId="0" applyNumberFormat="1" applyFont="1" applyFill="1" applyBorder="1" applyAlignment="1" applyProtection="1">
      <alignment horizontal="center"/>
      <protection locked="0"/>
    </xf>
    <xf numFmtId="0" fontId="12" fillId="0" borderId="8" xfId="0" applyNumberFormat="1" applyFont="1" applyFill="1" applyBorder="1" applyAlignment="1" applyProtection="1">
      <alignment horizontal="center"/>
    </xf>
    <xf numFmtId="0" fontId="12" fillId="8" borderId="2" xfId="0" applyNumberFormat="1" applyFont="1" applyFill="1" applyBorder="1" applyAlignment="1" applyProtection="1">
      <alignment horizontal="center"/>
    </xf>
    <xf numFmtId="0" fontId="12" fillId="7" borderId="2" xfId="0" applyNumberFormat="1" applyFont="1" applyFill="1" applyBorder="1" applyAlignment="1" applyProtection="1">
      <alignment horizontal="center"/>
    </xf>
    <xf numFmtId="1" fontId="12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protection locked="0"/>
    </xf>
    <xf numFmtId="0" fontId="12" fillId="4" borderId="10" xfId="0" applyNumberFormat="1" applyFont="1" applyFill="1" applyBorder="1" applyAlignment="1" applyProtection="1">
      <alignment horizontal="center"/>
    </xf>
    <xf numFmtId="0" fontId="12" fillId="4" borderId="11" xfId="0" applyNumberFormat="1" applyFont="1" applyFill="1" applyBorder="1" applyAlignment="1" applyProtection="1">
      <alignment horizontal="center"/>
    </xf>
    <xf numFmtId="0" fontId="10" fillId="11" borderId="2" xfId="0" applyNumberFormat="1" applyFont="1" applyFill="1" applyBorder="1" applyAlignment="1" applyProtection="1"/>
    <xf numFmtId="0" fontId="12" fillId="4" borderId="2" xfId="0" applyNumberFormat="1" applyFont="1" applyFill="1" applyBorder="1" applyAlignment="1" applyProtection="1">
      <protection locked="0"/>
    </xf>
    <xf numFmtId="0" fontId="10" fillId="4" borderId="2" xfId="0" applyNumberFormat="1" applyFont="1" applyFill="1" applyBorder="1" applyAlignment="1" applyProtection="1">
      <protection locked="0"/>
    </xf>
    <xf numFmtId="0" fontId="12" fillId="11" borderId="2" xfId="0" applyNumberFormat="1" applyFont="1" applyFill="1" applyBorder="1" applyAlignment="1" applyProtection="1">
      <alignment horizontal="center"/>
    </xf>
    <xf numFmtId="0" fontId="10" fillId="11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protection locked="0"/>
    </xf>
    <xf numFmtId="0" fontId="10" fillId="0" borderId="2" xfId="0" applyNumberFormat="1" applyFont="1" applyFill="1" applyBorder="1" applyAlignment="1" applyProtection="1">
      <protection locked="0"/>
    </xf>
    <xf numFmtId="0" fontId="12" fillId="12" borderId="2" xfId="0" applyNumberFormat="1" applyFont="1" applyFill="1" applyBorder="1" applyAlignment="1" applyProtection="1">
      <alignment horizontal="center"/>
    </xf>
    <xf numFmtId="0" fontId="10" fillId="12" borderId="2" xfId="0" applyNumberFormat="1" applyFont="1" applyFill="1" applyBorder="1" applyAlignment="1" applyProtection="1">
      <alignment horizontal="center"/>
      <protection locked="0"/>
    </xf>
    <xf numFmtId="0" fontId="14" fillId="12" borderId="2" xfId="0" applyNumberFormat="1" applyFont="1" applyFill="1" applyBorder="1" applyAlignment="1" applyProtection="1">
      <alignment horizontal="center"/>
    </xf>
    <xf numFmtId="0" fontId="15" fillId="12" borderId="2" xfId="0" applyNumberFormat="1" applyFont="1" applyFill="1" applyBorder="1" applyAlignment="1" applyProtection="1">
      <alignment horizontal="center"/>
      <protection locked="0"/>
    </xf>
    <xf numFmtId="0" fontId="10" fillId="11" borderId="2" xfId="0" applyNumberFormat="1" applyFont="1" applyFill="1" applyBorder="1" applyAlignment="1" applyProtection="1">
      <alignment horizontal="center"/>
    </xf>
    <xf numFmtId="180" fontId="10" fillId="4" borderId="2" xfId="0" applyNumberFormat="1" applyFont="1" applyFill="1" applyBorder="1" applyAlignment="1" applyProtection="1">
      <alignment horizontal="center"/>
      <protection locked="0"/>
    </xf>
    <xf numFmtId="2" fontId="12" fillId="5" borderId="2" xfId="0" applyNumberFormat="1" applyFont="1" applyFill="1" applyBorder="1" applyAlignment="1" applyProtection="1">
      <alignment horizontal="center" vertical="center"/>
    </xf>
    <xf numFmtId="0" fontId="12" fillId="4" borderId="12" xfId="0" applyNumberFormat="1" applyFont="1" applyFill="1" applyBorder="1" applyAlignment="1" applyProtection="1">
      <alignment horizontal="center"/>
    </xf>
    <xf numFmtId="0" fontId="12" fillId="5" borderId="8" xfId="0" applyNumberFormat="1" applyFont="1" applyFill="1" applyBorder="1" applyAlignment="1" applyProtection="1">
      <alignment horizontal="center"/>
    </xf>
    <xf numFmtId="0" fontId="12" fillId="4" borderId="8" xfId="0" applyNumberFormat="1" applyFont="1" applyFill="1" applyBorder="1" applyAlignment="1" applyProtection="1"/>
    <xf numFmtId="0" fontId="10" fillId="4" borderId="8" xfId="0" applyNumberFormat="1" applyFont="1" applyFill="1" applyBorder="1" applyAlignment="1" applyProtection="1"/>
    <xf numFmtId="180" fontId="12" fillId="4" borderId="2" xfId="0" applyNumberFormat="1" applyFont="1" applyFill="1" applyBorder="1" applyAlignment="1" applyProtection="1">
      <alignment horizontal="center"/>
    </xf>
    <xf numFmtId="0" fontId="10" fillId="5" borderId="8" xfId="0" applyNumberFormat="1" applyFont="1" applyFill="1" applyBorder="1" applyAlignment="1" applyProtection="1"/>
    <xf numFmtId="180" fontId="12" fillId="0" borderId="2" xfId="0" applyNumberFormat="1" applyFont="1" applyFill="1" applyBorder="1" applyAlignment="1" applyProtection="1">
      <alignment horizontal="center"/>
    </xf>
    <xf numFmtId="0" fontId="10" fillId="0" borderId="8" xfId="0" applyNumberFormat="1" applyFont="1" applyFill="1" applyBorder="1" applyAlignment="1" applyProtection="1"/>
    <xf numFmtId="0" fontId="16" fillId="0" borderId="0" xfId="14" applyFont="1"/>
    <xf numFmtId="0" fontId="17" fillId="4" borderId="0" xfId="14" applyFont="1" applyFill="1"/>
    <xf numFmtId="0" fontId="3" fillId="0" borderId="0" xfId="14" applyFont="1"/>
    <xf numFmtId="0" fontId="17" fillId="0" borderId="0" xfId="14" applyFont="1"/>
    <xf numFmtId="0" fontId="17" fillId="0" borderId="0" xfId="14" applyFont="1" applyAlignment="1">
      <alignment horizontal="center"/>
    </xf>
    <xf numFmtId="0" fontId="18" fillId="0" borderId="0" xfId="14" applyFont="1"/>
    <xf numFmtId="0" fontId="19" fillId="4" borderId="0" xfId="14" applyFont="1" applyFill="1"/>
    <xf numFmtId="0" fontId="19" fillId="0" borderId="0" xfId="14" applyFont="1"/>
    <xf numFmtId="0" fontId="19" fillId="4" borderId="0" xfId="14" applyFont="1" applyFill="1" applyAlignment="1">
      <alignment horizontal="center"/>
    </xf>
    <xf numFmtId="180" fontId="19" fillId="4" borderId="0" xfId="14" applyNumberFormat="1" applyFont="1" applyFill="1"/>
    <xf numFmtId="0" fontId="19" fillId="4" borderId="0" xfId="14" applyFont="1" applyFill="1" applyAlignment="1">
      <alignment horizontal="center" vertical="top"/>
    </xf>
    <xf numFmtId="0" fontId="19" fillId="4" borderId="0" xfId="14" applyFont="1" applyFill="1" applyAlignment="1">
      <alignment wrapText="1"/>
    </xf>
    <xf numFmtId="0" fontId="20" fillId="0" borderId="0" xfId="14" applyAlignment="1">
      <alignment horizontal="center" wrapText="1"/>
    </xf>
    <xf numFmtId="0" fontId="20" fillId="0" borderId="0" xfId="14" applyAlignment="1">
      <alignment wrapText="1"/>
    </xf>
    <xf numFmtId="0" fontId="19" fillId="4" borderId="13" xfId="14" applyFont="1" applyFill="1" applyBorder="1"/>
    <xf numFmtId="0" fontId="21" fillId="0" borderId="13" xfId="14" applyFont="1" applyBorder="1" applyAlignment="1">
      <alignment horizontal="center"/>
    </xf>
    <xf numFmtId="0" fontId="21" fillId="0" borderId="0" xfId="14" applyFont="1"/>
    <xf numFmtId="0" fontId="19" fillId="4" borderId="0" xfId="14" applyFont="1" applyFill="1" applyBorder="1"/>
    <xf numFmtId="0" fontId="18" fillId="4" borderId="0" xfId="14" applyFont="1" applyFill="1" applyBorder="1"/>
    <xf numFmtId="0" fontId="18" fillId="4" borderId="0" xfId="14" applyFont="1" applyFill="1"/>
    <xf numFmtId="0" fontId="18" fillId="0" borderId="0" xfId="14" applyFont="1" applyAlignment="1">
      <alignment horizontal="center"/>
    </xf>
    <xf numFmtId="180" fontId="18" fillId="4" borderId="0" xfId="14" applyNumberFormat="1" applyFont="1" applyFill="1"/>
    <xf numFmtId="0" fontId="19" fillId="4" borderId="0" xfId="14" applyFont="1" applyFill="1" applyAlignment="1"/>
    <xf numFmtId="0" fontId="19" fillId="0" borderId="0" xfId="14" applyFont="1" applyAlignment="1">
      <alignment horizontal="center"/>
    </xf>
    <xf numFmtId="0" fontId="9" fillId="0" borderId="0" xfId="14" applyFont="1" applyFill="1" applyAlignment="1">
      <alignment wrapText="1"/>
    </xf>
    <xf numFmtId="0" fontId="9" fillId="0" borderId="0" xfId="14" applyFont="1" applyFill="1" applyAlignment="1">
      <alignment horizontal="center" wrapText="1"/>
    </xf>
    <xf numFmtId="0" fontId="3" fillId="0" borderId="0" xfId="14" applyFont="1" applyFill="1" applyAlignment="1">
      <alignment wrapText="1"/>
    </xf>
    <xf numFmtId="0" fontId="3" fillId="4" borderId="0" xfId="14" applyFont="1" applyFill="1" applyAlignment="1">
      <alignment wrapText="1"/>
    </xf>
    <xf numFmtId="0" fontId="3" fillId="0" borderId="2" xfId="14" applyFont="1" applyFill="1" applyBorder="1" applyAlignment="1">
      <alignment horizontal="center" vertical="center" wrapText="1"/>
    </xf>
    <xf numFmtId="0" fontId="9" fillId="0" borderId="2" xfId="14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3" fillId="4" borderId="1" xfId="14" applyFont="1" applyFill="1" applyBorder="1" applyAlignment="1">
      <alignment horizontal="center" vertical="center" wrapText="1"/>
    </xf>
    <xf numFmtId="0" fontId="3" fillId="0" borderId="2" xfId="14" applyFont="1" applyFill="1" applyBorder="1" applyAlignment="1" applyProtection="1">
      <alignment horizontal="center" vertical="center" wrapText="1"/>
    </xf>
    <xf numFmtId="0" fontId="3" fillId="0" borderId="6" xfId="14" applyFont="1" applyFill="1" applyBorder="1" applyAlignment="1">
      <alignment horizontal="center" vertical="center" wrapText="1"/>
    </xf>
    <xf numFmtId="0" fontId="3" fillId="4" borderId="6" xfId="14" applyFont="1" applyFill="1" applyBorder="1" applyAlignment="1">
      <alignment horizontal="center" vertical="center" wrapText="1"/>
    </xf>
    <xf numFmtId="0" fontId="3" fillId="0" borderId="4" xfId="14" applyFont="1" applyFill="1" applyBorder="1" applyAlignment="1">
      <alignment horizontal="center" vertical="center" wrapText="1"/>
    </xf>
    <xf numFmtId="0" fontId="3" fillId="4" borderId="4" xfId="14" applyFont="1" applyFill="1" applyBorder="1" applyAlignment="1">
      <alignment horizontal="center" vertical="center" wrapText="1"/>
    </xf>
    <xf numFmtId="0" fontId="9" fillId="4" borderId="2" xfId="14" applyFont="1" applyFill="1" applyBorder="1" applyAlignment="1">
      <alignment horizontal="right" vertical="center" wrapText="1"/>
    </xf>
    <xf numFmtId="0" fontId="9" fillId="4" borderId="2" xfId="14" applyFont="1" applyFill="1" applyBorder="1" applyAlignment="1">
      <alignment wrapText="1"/>
    </xf>
    <xf numFmtId="0" fontId="3" fillId="4" borderId="2" xfId="14" applyFont="1" applyFill="1" applyBorder="1" applyAlignment="1">
      <alignment wrapText="1"/>
    </xf>
    <xf numFmtId="0" fontId="9" fillId="4" borderId="2" xfId="14" applyFont="1" applyFill="1" applyBorder="1" applyAlignment="1">
      <alignment horizontal="center" wrapText="1"/>
    </xf>
    <xf numFmtId="2" fontId="2" fillId="4" borderId="14" xfId="14" applyNumberFormat="1" applyFont="1" applyFill="1" applyBorder="1" applyAlignment="1">
      <alignment horizontal="right" wrapText="1"/>
    </xf>
    <xf numFmtId="0" fontId="22" fillId="4" borderId="2" xfId="14" applyFont="1" applyFill="1" applyBorder="1" applyAlignment="1">
      <alignment wrapText="1"/>
    </xf>
    <xf numFmtId="0" fontId="9" fillId="0" borderId="2" xfId="14" applyFont="1" applyFill="1" applyBorder="1" applyAlignment="1">
      <alignment horizontal="right" vertical="center" wrapText="1"/>
    </xf>
    <xf numFmtId="0" fontId="9" fillId="0" borderId="2" xfId="14" applyFont="1" applyFill="1" applyBorder="1" applyAlignment="1"/>
    <xf numFmtId="0" fontId="9" fillId="0" borderId="2" xfId="14" applyFont="1" applyFill="1" applyBorder="1" applyAlignment="1">
      <alignment wrapText="1"/>
    </xf>
    <xf numFmtId="0" fontId="3" fillId="0" borderId="2" xfId="14" applyFont="1" applyFill="1" applyBorder="1" applyAlignment="1">
      <alignment wrapText="1"/>
    </xf>
    <xf numFmtId="0" fontId="9" fillId="0" borderId="2" xfId="14" applyFont="1" applyFill="1" applyBorder="1" applyAlignment="1">
      <alignment horizontal="center" wrapText="1"/>
    </xf>
    <xf numFmtId="180" fontId="9" fillId="4" borderId="2" xfId="14" applyNumberFormat="1" applyFont="1" applyFill="1" applyBorder="1" applyAlignment="1">
      <alignment wrapText="1"/>
    </xf>
    <xf numFmtId="2" fontId="9" fillId="4" borderId="2" xfId="14" applyNumberFormat="1" applyFont="1" applyFill="1" applyBorder="1" applyAlignment="1">
      <alignment wrapText="1"/>
    </xf>
    <xf numFmtId="0" fontId="9" fillId="4" borderId="2" xfId="14" applyFont="1" applyFill="1" applyBorder="1" applyAlignment="1"/>
    <xf numFmtId="2" fontId="9" fillId="4" borderId="2" xfId="14" applyNumberFormat="1" applyFont="1" applyFill="1" applyBorder="1" applyAlignment="1">
      <alignment horizontal="right" wrapText="1"/>
    </xf>
    <xf numFmtId="0" fontId="9" fillId="0" borderId="2" xfId="14" applyFont="1" applyFill="1" applyBorder="1" applyAlignment="1">
      <alignment horizontal="right" wrapText="1"/>
    </xf>
    <xf numFmtId="180" fontId="3" fillId="4" borderId="2" xfId="14" applyNumberFormat="1" applyFont="1" applyFill="1" applyBorder="1" applyAlignment="1">
      <alignment wrapText="1"/>
    </xf>
    <xf numFmtId="0" fontId="3" fillId="0" borderId="2" xfId="14" applyFont="1" applyFill="1" applyBorder="1" applyAlignment="1">
      <alignment horizontal="center" wrapText="1"/>
    </xf>
    <xf numFmtId="0" fontId="9" fillId="0" borderId="6" xfId="14" applyFont="1" applyFill="1" applyBorder="1" applyAlignment="1">
      <alignment wrapText="1"/>
    </xf>
    <xf numFmtId="0" fontId="9" fillId="0" borderId="2" xfId="14" applyFont="1" applyBorder="1" applyAlignment="1">
      <alignment wrapText="1"/>
    </xf>
    <xf numFmtId="0" fontId="9" fillId="4" borderId="2" xfId="14" applyFont="1" applyFill="1" applyBorder="1" applyAlignment="1">
      <alignment horizontal="right" wrapText="1"/>
    </xf>
    <xf numFmtId="0" fontId="9" fillId="4" borderId="2" xfId="14" applyFont="1" applyFill="1" applyBorder="1" applyAlignment="1">
      <alignment horizontal="left"/>
    </xf>
    <xf numFmtId="0" fontId="9" fillId="4" borderId="2" xfId="14" applyFont="1" applyFill="1" applyBorder="1" applyAlignment="1">
      <alignment horizontal="center"/>
    </xf>
    <xf numFmtId="0" fontId="9" fillId="4" borderId="2" xfId="14" applyFont="1" applyFill="1" applyBorder="1" applyAlignment="1">
      <alignment horizontal="right"/>
    </xf>
    <xf numFmtId="0" fontId="3" fillId="4" borderId="2" xfId="14" applyFont="1" applyFill="1" applyBorder="1" applyAlignment="1">
      <alignment horizontal="left"/>
    </xf>
    <xf numFmtId="0" fontId="9" fillId="4" borderId="0" xfId="14" applyFont="1" applyFill="1" applyAlignment="1">
      <alignment wrapText="1"/>
    </xf>
    <xf numFmtId="0" fontId="9" fillId="0" borderId="0" xfId="14" applyFont="1" applyFill="1" applyAlignment="1" applyProtection="1">
      <protection locked="0"/>
    </xf>
    <xf numFmtId="0" fontId="9" fillId="0" borderId="0" xfId="14" applyFont="1" applyAlignment="1" applyProtection="1">
      <protection locked="0"/>
    </xf>
    <xf numFmtId="0" fontId="3" fillId="0" borderId="0" xfId="14" applyFont="1" applyBorder="1" applyAlignment="1" applyProtection="1">
      <protection locked="0"/>
    </xf>
    <xf numFmtId="0" fontId="3" fillId="0" borderId="0" xfId="14" applyFont="1" applyBorder="1" applyAlignment="1" applyProtection="1">
      <alignment horizontal="center"/>
      <protection locked="0"/>
    </xf>
    <xf numFmtId="0" fontId="3" fillId="4" borderId="0" xfId="14" applyFont="1" applyFill="1" applyBorder="1" applyAlignment="1" applyProtection="1">
      <protection locked="0"/>
    </xf>
    <xf numFmtId="0" fontId="3" fillId="0" borderId="0" xfId="14" applyFont="1" applyAlignment="1" applyProtection="1">
      <protection locked="0"/>
    </xf>
    <xf numFmtId="0" fontId="3" fillId="0" borderId="0" xfId="14" applyFont="1" applyAlignment="1" applyProtection="1">
      <alignment horizontal="center"/>
      <protection locked="0"/>
    </xf>
    <xf numFmtId="0" fontId="3" fillId="4" borderId="0" xfId="14" applyFont="1" applyFill="1" applyAlignment="1" applyProtection="1">
      <protection locked="0"/>
    </xf>
    <xf numFmtId="0" fontId="9" fillId="0" borderId="0" xfId="14" applyFont="1" applyFill="1" applyAlignment="1" applyProtection="1">
      <alignment wrapText="1"/>
      <protection locked="0"/>
    </xf>
    <xf numFmtId="0" fontId="9" fillId="0" borderId="0" xfId="14" applyFont="1" applyAlignment="1" applyProtection="1">
      <alignment wrapText="1"/>
      <protection locked="0"/>
    </xf>
    <xf numFmtId="0" fontId="9" fillId="0" borderId="0" xfId="14" applyFont="1" applyAlignment="1" applyProtection="1">
      <alignment horizontal="center" wrapText="1"/>
      <protection locked="0"/>
    </xf>
    <xf numFmtId="0" fontId="9" fillId="4" borderId="0" xfId="14" applyFont="1" applyFill="1" applyAlignment="1" applyProtection="1">
      <alignment wrapText="1"/>
      <protection locked="0"/>
    </xf>
    <xf numFmtId="4" fontId="19" fillId="0" borderId="0" xfId="14" applyNumberFormat="1" applyFont="1"/>
    <xf numFmtId="0" fontId="23" fillId="0" borderId="0" xfId="14" applyFont="1" applyAlignment="1">
      <alignment horizontal="left" vertical="center" wrapText="1"/>
    </xf>
    <xf numFmtId="0" fontId="19" fillId="0" borderId="0" xfId="14" applyFont="1" applyAlignment="1">
      <alignment horizontal="left" wrapText="1"/>
    </xf>
    <xf numFmtId="4" fontId="18" fillId="0" borderId="0" xfId="14" applyNumberFormat="1" applyFont="1"/>
    <xf numFmtId="0" fontId="3" fillId="0" borderId="13" xfId="14" applyFont="1" applyFill="1" applyBorder="1" applyAlignment="1">
      <alignment horizontal="center" wrapText="1"/>
    </xf>
    <xf numFmtId="0" fontId="3" fillId="0" borderId="15" xfId="14" applyFont="1" applyFill="1" applyBorder="1" applyAlignment="1">
      <alignment horizontal="center" vertical="center" wrapText="1"/>
    </xf>
    <xf numFmtId="0" fontId="3" fillId="4" borderId="15" xfId="14" applyFont="1" applyFill="1" applyBorder="1" applyAlignment="1">
      <alignment horizontal="center" vertical="center" wrapText="1"/>
    </xf>
    <xf numFmtId="0" fontId="3" fillId="0" borderId="16" xfId="14" applyFont="1" applyFill="1" applyBorder="1" applyAlignment="1">
      <alignment horizontal="center" vertical="center" wrapText="1"/>
    </xf>
    <xf numFmtId="0" fontId="3" fillId="0" borderId="17" xfId="14" applyFont="1" applyFill="1" applyBorder="1" applyAlignment="1">
      <alignment horizontal="center" vertical="center" wrapText="1"/>
    </xf>
    <xf numFmtId="0" fontId="3" fillId="0" borderId="18" xfId="14" applyFont="1" applyFill="1" applyBorder="1" applyAlignment="1">
      <alignment horizontal="center" vertical="center" wrapText="1"/>
    </xf>
    <xf numFmtId="0" fontId="3" fillId="0" borderId="19" xfId="14" applyFont="1" applyFill="1" applyBorder="1" applyAlignment="1">
      <alignment horizontal="center" vertical="center" wrapText="1"/>
    </xf>
    <xf numFmtId="0" fontId="3" fillId="0" borderId="20" xfId="14" applyFont="1" applyFill="1" applyBorder="1" applyAlignment="1">
      <alignment horizontal="center" vertical="center" wrapText="1"/>
    </xf>
    <xf numFmtId="9" fontId="3" fillId="0" borderId="2" xfId="14" applyNumberFormat="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vertical="center" wrapText="1"/>
    </xf>
    <xf numFmtId="0" fontId="9" fillId="4" borderId="2" xfId="14" applyFont="1" applyFill="1" applyBorder="1" applyAlignment="1">
      <alignment horizontal="center" vertical="center" wrapText="1"/>
    </xf>
    <xf numFmtId="0" fontId="24" fillId="4" borderId="2" xfId="14" applyFont="1" applyFill="1" applyBorder="1" applyAlignment="1">
      <alignment wrapText="1"/>
    </xf>
    <xf numFmtId="2" fontId="9" fillId="0" borderId="2" xfId="14" applyNumberFormat="1" applyFont="1" applyFill="1" applyBorder="1" applyAlignment="1">
      <alignment wrapText="1"/>
    </xf>
    <xf numFmtId="0" fontId="3" fillId="4" borderId="2" xfId="14" applyNumberFormat="1" applyFont="1" applyFill="1" applyBorder="1" applyAlignment="1">
      <alignment horizontal="right"/>
    </xf>
    <xf numFmtId="4" fontId="19" fillId="0" borderId="0" xfId="14" applyNumberFormat="1" applyFont="1" applyAlignment="1">
      <alignment horizontal="center"/>
    </xf>
    <xf numFmtId="4" fontId="19" fillId="0" borderId="0" xfId="14" applyNumberFormat="1" applyFont="1" applyAlignment="1"/>
    <xf numFmtId="0" fontId="19" fillId="0" borderId="21" xfId="14" applyFont="1" applyBorder="1" applyAlignment="1">
      <alignment horizontal="right"/>
    </xf>
    <xf numFmtId="0" fontId="9" fillId="0" borderId="13" xfId="14" applyFont="1" applyFill="1" applyBorder="1" applyAlignment="1">
      <alignment wrapText="1"/>
    </xf>
    <xf numFmtId="0" fontId="9" fillId="0" borderId="22" xfId="14" applyFont="1" applyFill="1" applyBorder="1" applyAlignment="1">
      <alignment horizontal="center" vertical="center" wrapText="1"/>
    </xf>
    <xf numFmtId="0" fontId="9" fillId="0" borderId="23" xfId="14" applyFont="1" applyFill="1" applyBorder="1" applyAlignment="1">
      <alignment horizontal="center" vertical="center" wrapText="1"/>
    </xf>
    <xf numFmtId="10" fontId="3" fillId="0" borderId="2" xfId="14" applyNumberFormat="1" applyFont="1" applyFill="1" applyBorder="1" applyAlignment="1">
      <alignment horizontal="center" vertical="center" wrapText="1"/>
    </xf>
    <xf numFmtId="0" fontId="9" fillId="0" borderId="3" xfId="14" applyFont="1" applyFill="1" applyBorder="1" applyAlignment="1">
      <alignment horizontal="center" vertical="center" wrapText="1"/>
    </xf>
    <xf numFmtId="0" fontId="3" fillId="0" borderId="22" xfId="14" applyFont="1" applyFill="1" applyBorder="1" applyAlignment="1" applyProtection="1">
      <alignment horizontal="center" vertical="center" wrapText="1"/>
    </xf>
    <xf numFmtId="0" fontId="3" fillId="0" borderId="3" xfId="14" applyFont="1" applyFill="1" applyBorder="1" applyAlignment="1" applyProtection="1">
      <alignment horizontal="center" vertical="center" wrapText="1"/>
    </xf>
    <xf numFmtId="0" fontId="3" fillId="0" borderId="0" xfId="14" applyFont="1" applyFill="1" applyAlignment="1" applyProtection="1">
      <protection locked="0"/>
    </xf>
    <xf numFmtId="0" fontId="3" fillId="0" borderId="0" xfId="14" applyFont="1" applyFill="1" applyBorder="1" applyAlignment="1" applyProtection="1">
      <protection locked="0"/>
    </xf>
    <xf numFmtId="2" fontId="9" fillId="0" borderId="0" xfId="14" applyNumberFormat="1" applyFont="1" applyAlignment="1" applyProtection="1">
      <protection locked="0"/>
    </xf>
    <xf numFmtId="0" fontId="17" fillId="0" borderId="2" xfId="14" applyFont="1" applyBorder="1"/>
    <xf numFmtId="0" fontId="16" fillId="0" borderId="2" xfId="14" applyFont="1" applyBorder="1"/>
    <xf numFmtId="0" fontId="17" fillId="4" borderId="2" xfId="14" applyFont="1" applyFill="1" applyBorder="1"/>
    <xf numFmtId="0" fontId="3" fillId="0" borderId="2" xfId="14" applyFont="1" applyBorder="1"/>
    <xf numFmtId="0" fontId="25" fillId="0" borderId="0" xfId="0" applyFont="1" applyProtection="1">
      <protection locked="0"/>
    </xf>
    <xf numFmtId="0" fontId="0" fillId="0" borderId="0" xfId="0" applyProtection="1">
      <protection locked="0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6" fillId="13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4" fillId="4" borderId="0" xfId="0" applyFont="1" applyFill="1"/>
    <xf numFmtId="0" fontId="24" fillId="4" borderId="0" xfId="0" applyFont="1" applyFill="1" applyAlignment="1">
      <alignment horizontal="center"/>
    </xf>
    <xf numFmtId="1" fontId="24" fillId="0" borderId="0" xfId="0" applyNumberFormat="1" applyFont="1" applyFill="1"/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8" fillId="0" borderId="0" xfId="0" applyFont="1" applyAlignment="1" applyProtection="1">
      <protection locked="0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29" fillId="4" borderId="0" xfId="0" applyFont="1" applyFill="1" applyAlignment="1" applyProtection="1">
      <alignment horizontal="center"/>
      <protection locked="0"/>
    </xf>
    <xf numFmtId="0" fontId="29" fillId="4" borderId="0" xfId="0" applyFont="1" applyFill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9" fillId="0" borderId="0" xfId="0" applyFont="1" applyAlignment="1" applyProtection="1"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protection locked="0"/>
    </xf>
    <xf numFmtId="0" fontId="29" fillId="0" borderId="0" xfId="0" applyFont="1" applyFill="1" applyAlignment="1" applyProtection="1">
      <protection locked="0"/>
    </xf>
    <xf numFmtId="0" fontId="29" fillId="0" borderId="0" xfId="0" applyFont="1" applyFill="1" applyProtection="1">
      <protection locked="0"/>
    </xf>
    <xf numFmtId="1" fontId="28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9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29" fillId="0" borderId="0" xfId="0" applyFont="1" applyFill="1"/>
    <xf numFmtId="0" fontId="29" fillId="4" borderId="0" xfId="0" applyFont="1" applyFill="1"/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right" vertical="center" textRotation="90" wrapText="1"/>
    </xf>
    <xf numFmtId="0" fontId="32" fillId="0" borderId="1" xfId="0" applyFont="1" applyFill="1" applyBorder="1" applyAlignment="1">
      <alignment horizontal="right" vertical="center" textRotation="90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right" vertical="center" textRotation="90" wrapText="1"/>
    </xf>
    <xf numFmtId="0" fontId="29" fillId="0" borderId="2" xfId="0" applyFont="1" applyFill="1" applyBorder="1" applyAlignment="1">
      <alignment horizontal="center" vertical="center"/>
    </xf>
    <xf numFmtId="0" fontId="32" fillId="4" borderId="1" xfId="0" applyFont="1" applyFill="1" applyBorder="1" applyAlignment="1" applyProtection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/>
    </xf>
    <xf numFmtId="49" fontId="32" fillId="4" borderId="2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2" fillId="13" borderId="1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right" vertical="center"/>
    </xf>
    <xf numFmtId="49" fontId="32" fillId="4" borderId="1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vertical="center" wrapText="1"/>
    </xf>
    <xf numFmtId="0" fontId="32" fillId="13" borderId="4" xfId="0" applyFont="1" applyFill="1" applyBorder="1" applyAlignment="1">
      <alignment horizontal="center" vertical="center"/>
    </xf>
    <xf numFmtId="49" fontId="32" fillId="4" borderId="4" xfId="0" applyNumberFormat="1" applyFont="1" applyFill="1" applyBorder="1" applyAlignment="1">
      <alignment horizontal="center" vertical="center"/>
    </xf>
    <xf numFmtId="0" fontId="32" fillId="4" borderId="2" xfId="0" applyFont="1" applyFill="1" applyBorder="1" applyAlignment="1" applyProtection="1">
      <alignment vertical="center" wrapText="1"/>
    </xf>
    <xf numFmtId="0" fontId="32" fillId="4" borderId="2" xfId="0" applyFont="1" applyFill="1" applyBorder="1" applyAlignment="1">
      <alignment vertical="center" wrapText="1"/>
    </xf>
    <xf numFmtId="0" fontId="32" fillId="13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vertical="center"/>
    </xf>
    <xf numFmtId="49" fontId="32" fillId="4" borderId="1" xfId="0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vertical="center"/>
    </xf>
    <xf numFmtId="49" fontId="32" fillId="4" borderId="2" xfId="0" applyNumberFormat="1" applyFont="1" applyFill="1" applyBorder="1" applyAlignment="1">
      <alignment vertical="center"/>
    </xf>
    <xf numFmtId="0" fontId="32" fillId="4" borderId="2" xfId="0" applyNumberFormat="1" applyFont="1" applyFill="1" applyBorder="1" applyAlignment="1" applyProtection="1">
      <alignment vertical="center" wrapText="1"/>
    </xf>
    <xf numFmtId="49" fontId="32" fillId="0" borderId="2" xfId="0" applyNumberFormat="1" applyFont="1" applyFill="1" applyBorder="1" applyAlignment="1">
      <alignment horizontal="center" vertical="center"/>
    </xf>
    <xf numFmtId="0" fontId="32" fillId="4" borderId="1" xfId="0" applyNumberFormat="1" applyFont="1" applyFill="1" applyBorder="1" applyAlignment="1" applyProtection="1">
      <alignment vertical="center" wrapText="1"/>
    </xf>
    <xf numFmtId="2" fontId="32" fillId="4" borderId="2" xfId="0" applyNumberFormat="1" applyFont="1" applyFill="1" applyBorder="1" applyAlignment="1">
      <alignment horizontal="right" vertical="center"/>
    </xf>
    <xf numFmtId="0" fontId="32" fillId="4" borderId="2" xfId="0" applyNumberFormat="1" applyFont="1" applyFill="1" applyBorder="1" applyAlignment="1">
      <alignment horizontal="center" vertical="center"/>
    </xf>
    <xf numFmtId="2" fontId="32" fillId="4" borderId="2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4" borderId="1" xfId="0" applyNumberFormat="1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4" borderId="4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4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1" fontId="34" fillId="0" borderId="0" xfId="0" applyNumberFormat="1" applyFont="1" applyAlignment="1" applyProtection="1">
      <alignment horizontal="center"/>
      <protection locked="0"/>
    </xf>
    <xf numFmtId="0" fontId="35" fillId="0" borderId="0" xfId="0" applyFont="1" applyProtection="1"/>
    <xf numFmtId="1" fontId="25" fillId="0" borderId="0" xfId="0" applyNumberFormat="1" applyFont="1" applyProtection="1">
      <protection locked="0"/>
    </xf>
    <xf numFmtId="0" fontId="29" fillId="0" borderId="0" xfId="0" applyFont="1" applyAlignment="1">
      <alignment vertical="center" wrapText="1"/>
    </xf>
    <xf numFmtId="0" fontId="28" fillId="4" borderId="0" xfId="0" applyFont="1" applyFill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" fontId="29" fillId="0" borderId="0" xfId="0" applyNumberFormat="1" applyFont="1" applyProtection="1">
      <protection locked="0"/>
    </xf>
    <xf numFmtId="1" fontId="30" fillId="0" borderId="0" xfId="0" applyNumberFormat="1" applyFont="1" applyFill="1" applyProtection="1">
      <protection locked="0"/>
    </xf>
    <xf numFmtId="1" fontId="29" fillId="0" borderId="0" xfId="0" applyNumberFormat="1" applyFont="1" applyFill="1" applyProtection="1"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1" fontId="28" fillId="0" borderId="0" xfId="0" applyNumberFormat="1" applyFont="1" applyFill="1" applyProtection="1">
      <protection locked="0"/>
    </xf>
    <xf numFmtId="1" fontId="29" fillId="0" borderId="0" xfId="0" applyNumberFormat="1" applyFont="1" applyFill="1" applyAlignment="1">
      <alignment horizontal="left"/>
    </xf>
    <xf numFmtId="0" fontId="28" fillId="0" borderId="0" xfId="0" applyFont="1" applyFill="1" applyAlignment="1"/>
    <xf numFmtId="0" fontId="28" fillId="0" borderId="0" xfId="0" applyFont="1" applyFill="1" applyBorder="1" applyAlignment="1">
      <alignment horizontal="left"/>
    </xf>
    <xf numFmtId="1" fontId="29" fillId="0" borderId="0" xfId="0" applyNumberFormat="1" applyFont="1" applyFill="1"/>
    <xf numFmtId="1" fontId="3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3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/>
    </xf>
    <xf numFmtId="177" fontId="18" fillId="0" borderId="2" xfId="7" applyNumberFormat="1" applyFont="1" applyFill="1" applyBorder="1" applyAlignment="1">
      <alignment vertical="center" wrapText="1"/>
    </xf>
    <xf numFmtId="177" fontId="18" fillId="13" borderId="2" xfId="7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180" fontId="18" fillId="0" borderId="2" xfId="0" applyNumberFormat="1" applyFont="1" applyFill="1" applyBorder="1" applyAlignment="1">
      <alignment horizontal="right" vertical="center"/>
    </xf>
    <xf numFmtId="180" fontId="19" fillId="4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right" vertical="center"/>
    </xf>
    <xf numFmtId="0" fontId="18" fillId="13" borderId="2" xfId="0" applyFont="1" applyFill="1" applyBorder="1" applyAlignment="1">
      <alignment vertical="center"/>
    </xf>
    <xf numFmtId="0" fontId="18" fillId="13" borderId="2" xfId="0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center" vertical="center"/>
    </xf>
    <xf numFmtId="0" fontId="27" fillId="14" borderId="0" xfId="0" applyFont="1" applyFill="1" applyProtection="1">
      <protection locked="0"/>
    </xf>
    <xf numFmtId="0" fontId="27" fillId="15" borderId="0" xfId="0" applyFont="1" applyFill="1" applyProtection="1">
      <protection locked="0"/>
    </xf>
    <xf numFmtId="0" fontId="27" fillId="16" borderId="0" xfId="0" applyFont="1" applyFill="1" applyProtection="1">
      <protection locked="0"/>
    </xf>
    <xf numFmtId="1" fontId="27" fillId="16" borderId="0" xfId="0" applyNumberFormat="1" applyFont="1" applyFill="1" applyProtection="1">
      <protection locked="0"/>
    </xf>
    <xf numFmtId="1" fontId="27" fillId="0" borderId="0" xfId="0" applyNumberFormat="1" applyFont="1" applyProtection="1">
      <protection locked="0"/>
    </xf>
    <xf numFmtId="1" fontId="27" fillId="0" borderId="0" xfId="0" applyNumberFormat="1" applyFont="1" applyFill="1" applyProtection="1">
      <protection locked="0"/>
    </xf>
    <xf numFmtId="1" fontId="29" fillId="4" borderId="0" xfId="0" applyNumberFormat="1" applyFont="1" applyFill="1" applyProtection="1">
      <protection locked="0"/>
    </xf>
    <xf numFmtId="1" fontId="28" fillId="0" borderId="25" xfId="0" applyNumberFormat="1" applyFont="1" applyFill="1" applyBorder="1" applyProtection="1">
      <protection locked="0"/>
    </xf>
    <xf numFmtId="2" fontId="28" fillId="4" borderId="0" xfId="0" applyNumberFormat="1" applyFont="1" applyFill="1" applyAlignment="1" applyProtection="1">
      <alignment horizontal="center"/>
      <protection locked="0"/>
    </xf>
    <xf numFmtId="2" fontId="28" fillId="4" borderId="18" xfId="0" applyNumberFormat="1" applyFont="1" applyFill="1" applyBorder="1" applyAlignment="1" applyProtection="1">
      <alignment horizontal="center"/>
      <protection locked="0"/>
    </xf>
    <xf numFmtId="1" fontId="29" fillId="0" borderId="2" xfId="0" applyNumberFormat="1" applyFont="1" applyFill="1" applyBorder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left" wrapText="1"/>
      <protection locked="0"/>
    </xf>
    <xf numFmtId="0" fontId="28" fillId="4" borderId="18" xfId="0" applyFont="1" applyFill="1" applyBorder="1" applyAlignment="1" applyProtection="1">
      <alignment horizontal="left" wrapText="1"/>
      <protection locked="0"/>
    </xf>
    <xf numFmtId="1" fontId="28" fillId="4" borderId="0" xfId="0" applyNumberFormat="1" applyFont="1" applyFill="1" applyBorder="1" applyProtection="1">
      <protection locked="0"/>
    </xf>
    <xf numFmtId="1" fontId="28" fillId="4" borderId="0" xfId="0" applyNumberFormat="1" applyFont="1" applyFill="1" applyProtection="1">
      <protection locked="0"/>
    </xf>
    <xf numFmtId="1" fontId="29" fillId="4" borderId="0" xfId="0" applyNumberFormat="1" applyFont="1" applyFill="1" applyBorder="1" applyProtection="1">
      <protection locked="0"/>
    </xf>
    <xf numFmtId="1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2" xfId="0" applyNumberFormat="1" applyFont="1" applyFill="1" applyBorder="1" applyProtection="1"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0" borderId="2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9" fontId="12" fillId="0" borderId="1" xfId="0" applyNumberFormat="1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wrapText="1"/>
    </xf>
    <xf numFmtId="9" fontId="12" fillId="0" borderId="3" xfId="0" applyNumberFormat="1" applyFont="1" applyFill="1" applyBorder="1" applyAlignment="1">
      <alignment horizontal="center" wrapText="1"/>
    </xf>
    <xf numFmtId="9" fontId="12" fillId="0" borderId="2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7" fontId="18" fillId="0" borderId="2" xfId="7" applyNumberFormat="1" applyFont="1" applyFill="1" applyBorder="1" applyAlignment="1">
      <alignment vertical="center"/>
    </xf>
    <xf numFmtId="177" fontId="18" fillId="4" borderId="2" xfId="7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vertical="center"/>
    </xf>
    <xf numFmtId="180" fontId="18" fillId="0" borderId="2" xfId="0" applyNumberFormat="1" applyFont="1" applyFill="1" applyBorder="1" applyAlignment="1">
      <alignment vertical="center"/>
    </xf>
    <xf numFmtId="1" fontId="27" fillId="15" borderId="0" xfId="0" applyNumberFormat="1" applyFont="1" applyFill="1" applyProtection="1">
      <protection locked="0"/>
    </xf>
    <xf numFmtId="1" fontId="28" fillId="4" borderId="12" xfId="0" applyNumberFormat="1" applyFont="1" applyFill="1" applyBorder="1" applyProtection="1">
      <protection locked="0"/>
    </xf>
    <xf numFmtId="0" fontId="28" fillId="0" borderId="8" xfId="0" applyFont="1" applyFill="1" applyBorder="1" applyAlignment="1" applyProtection="1">
      <alignment horizontal="center"/>
      <protection locked="0"/>
    </xf>
    <xf numFmtId="0" fontId="28" fillId="4" borderId="8" xfId="0" applyFont="1" applyFill="1" applyBorder="1" applyAlignment="1" applyProtection="1">
      <alignment horizontal="center"/>
      <protection locked="0"/>
    </xf>
    <xf numFmtId="1" fontId="29" fillId="4" borderId="2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Fill="1" applyBorder="1" applyAlignment="1" applyProtection="1">
      <alignment horizontal="left"/>
      <protection locked="0"/>
    </xf>
    <xf numFmtId="0" fontId="29" fillId="4" borderId="27" xfId="0" applyFont="1" applyFill="1" applyBorder="1" applyAlignment="1" applyProtection="1">
      <alignment horizontal="left"/>
      <protection locked="0"/>
    </xf>
    <xf numFmtId="0" fontId="29" fillId="0" borderId="28" xfId="0" applyFont="1" applyFill="1" applyBorder="1" applyAlignment="1" applyProtection="1">
      <alignment horizontal="left"/>
      <protection locked="0"/>
    </xf>
    <xf numFmtId="0" fontId="29" fillId="4" borderId="29" xfId="0" applyFont="1" applyFill="1" applyBorder="1" applyAlignment="1" applyProtection="1">
      <alignment horizontal="left"/>
      <protection locked="0"/>
    </xf>
    <xf numFmtId="1" fontId="2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left" vertical="center" wrapText="1"/>
      <protection locked="0"/>
    </xf>
    <xf numFmtId="0" fontId="29" fillId="4" borderId="29" xfId="0" applyFont="1" applyFill="1" applyBorder="1" applyAlignment="1" applyProtection="1">
      <alignment horizontal="left" vertical="center" wrapText="1"/>
      <protection locked="0"/>
    </xf>
    <xf numFmtId="1" fontId="29" fillId="4" borderId="2" xfId="0" applyNumberFormat="1" applyFont="1" applyFill="1" applyBorder="1" applyProtection="1">
      <protection locked="0"/>
    </xf>
    <xf numFmtId="0" fontId="29" fillId="0" borderId="30" xfId="0" applyFont="1" applyFill="1" applyBorder="1" applyAlignment="1" applyProtection="1">
      <alignment horizontal="center"/>
      <protection locked="0"/>
    </xf>
    <xf numFmtId="0" fontId="29" fillId="4" borderId="30" xfId="0" applyFont="1" applyFill="1" applyBorder="1" applyAlignment="1" applyProtection="1">
      <alignment horizontal="center"/>
      <protection locked="0"/>
    </xf>
    <xf numFmtId="0" fontId="29" fillId="0" borderId="29" xfId="0" applyFont="1" applyFill="1" applyBorder="1" applyAlignment="1" applyProtection="1">
      <alignment horizontal="left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8" fillId="0" borderId="29" xfId="0" applyFont="1" applyFill="1" applyBorder="1" applyAlignment="1" applyProtection="1">
      <alignment horizontal="center"/>
      <protection locked="0"/>
    </xf>
    <xf numFmtId="0" fontId="29" fillId="0" borderId="2" xfId="0" applyFont="1" applyFill="1" applyBorder="1" applyAlignment="1" applyProtection="1">
      <alignment horizontal="center"/>
      <protection locked="0"/>
    </xf>
    <xf numFmtId="1" fontId="30" fillId="0" borderId="2" xfId="0" applyNumberFormat="1" applyFont="1" applyBorder="1" applyAlignment="1" applyProtection="1">
      <alignment horizontal="center"/>
      <protection locked="0"/>
    </xf>
    <xf numFmtId="0" fontId="29" fillId="0" borderId="29" xfId="0" applyFont="1" applyBorder="1" applyAlignment="1" applyProtection="1">
      <alignment horizontal="left"/>
      <protection locked="0"/>
    </xf>
    <xf numFmtId="0" fontId="29" fillId="0" borderId="31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/>
    <xf numFmtId="9" fontId="12" fillId="0" borderId="22" xfId="0" applyNumberFormat="1" applyFont="1" applyFill="1" applyBorder="1" applyAlignment="1">
      <alignment horizontal="center" vertical="center"/>
    </xf>
    <xf numFmtId="9" fontId="12" fillId="0" borderId="23" xfId="0" applyNumberFormat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textRotation="90"/>
    </xf>
    <xf numFmtId="9" fontId="12" fillId="0" borderId="22" xfId="0" applyNumberFormat="1" applyFont="1" applyFill="1" applyBorder="1" applyAlignment="1">
      <alignment horizontal="center" vertical="center" textRotation="90"/>
    </xf>
    <xf numFmtId="9" fontId="12" fillId="0" borderId="23" xfId="0" applyNumberFormat="1" applyFont="1" applyFill="1" applyBorder="1" applyAlignment="1">
      <alignment horizontal="center" vertical="center" textRotation="90"/>
    </xf>
    <xf numFmtId="9" fontId="12" fillId="0" borderId="4" xfId="0" applyNumberFormat="1" applyFont="1" applyFill="1" applyBorder="1" applyAlignment="1">
      <alignment horizontal="center" vertical="center" textRotation="90"/>
    </xf>
    <xf numFmtId="9" fontId="12" fillId="0" borderId="4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9" fontId="12" fillId="0" borderId="2" xfId="0" applyNumberFormat="1" applyFont="1" applyFill="1" applyBorder="1" applyAlignment="1">
      <alignment horizontal="center" vertical="center" textRotation="90"/>
    </xf>
    <xf numFmtId="181" fontId="18" fillId="0" borderId="2" xfId="7" applyNumberFormat="1" applyFont="1" applyFill="1" applyBorder="1" applyAlignment="1">
      <alignment vertical="center" wrapText="1"/>
    </xf>
    <xf numFmtId="177" fontId="18" fillId="4" borderId="2" xfId="7" applyNumberFormat="1" applyFont="1" applyFill="1" applyBorder="1" applyAlignment="1">
      <alignment vertical="center"/>
    </xf>
    <xf numFmtId="182" fontId="18" fillId="4" borderId="2" xfId="7" applyNumberFormat="1" applyFont="1" applyFill="1" applyBorder="1" applyAlignment="1">
      <alignment vertical="center" wrapText="1"/>
    </xf>
    <xf numFmtId="2" fontId="18" fillId="0" borderId="2" xfId="0" applyNumberFormat="1" applyFont="1" applyFill="1" applyBorder="1" applyAlignment="1">
      <alignment vertical="center"/>
    </xf>
    <xf numFmtId="177" fontId="18" fillId="4" borderId="2" xfId="7" applyNumberFormat="1" applyFont="1" applyFill="1" applyBorder="1" applyAlignment="1">
      <alignment vertical="center" wrapText="1"/>
    </xf>
    <xf numFmtId="49" fontId="28" fillId="4" borderId="8" xfId="0" applyNumberFormat="1" applyFont="1" applyFill="1" applyBorder="1" applyAlignment="1" applyProtection="1">
      <alignment horizontal="center"/>
      <protection locked="0"/>
    </xf>
    <xf numFmtId="1" fontId="28" fillId="0" borderId="8" xfId="0" applyNumberFormat="1" applyFont="1" applyBorder="1" applyAlignment="1" applyProtection="1">
      <alignment horizontal="center"/>
      <protection locked="0"/>
    </xf>
    <xf numFmtId="49" fontId="28" fillId="0" borderId="8" xfId="0" applyNumberFormat="1" applyFont="1" applyBorder="1" applyAlignment="1" applyProtection="1">
      <alignment horizontal="center"/>
      <protection locked="0"/>
    </xf>
    <xf numFmtId="0" fontId="29" fillId="0" borderId="27" xfId="0" applyFont="1" applyFill="1" applyBorder="1" applyAlignment="1" applyProtection="1">
      <alignment horizontal="left"/>
      <protection locked="0"/>
    </xf>
    <xf numFmtId="0" fontId="29" fillId="4" borderId="27" xfId="0" applyFont="1" applyFill="1" applyBorder="1" applyAlignment="1" applyProtection="1">
      <alignment horizontal="center"/>
      <protection locked="0"/>
    </xf>
    <xf numFmtId="1" fontId="29" fillId="0" borderId="27" xfId="0" applyNumberFormat="1" applyFont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center"/>
      <protection locked="0"/>
    </xf>
    <xf numFmtId="0" fontId="29" fillId="4" borderId="29" xfId="0" applyFont="1" applyFill="1" applyBorder="1" applyAlignment="1" applyProtection="1">
      <alignment horizontal="center"/>
      <protection locked="0"/>
    </xf>
    <xf numFmtId="1" fontId="29" fillId="0" borderId="29" xfId="0" applyNumberFormat="1" applyFont="1" applyBorder="1" applyAlignment="1" applyProtection="1">
      <alignment horizontal="center"/>
      <protection locked="0"/>
    </xf>
    <xf numFmtId="0" fontId="29" fillId="0" borderId="29" xfId="0" applyFont="1" applyBorder="1" applyAlignment="1" applyProtection="1">
      <alignment horizontal="center"/>
      <protection locked="0"/>
    </xf>
    <xf numFmtId="0" fontId="29" fillId="4" borderId="31" xfId="0" applyFont="1" applyFill="1" applyBorder="1" applyAlignment="1" applyProtection="1">
      <alignment horizontal="center"/>
      <protection locked="0"/>
    </xf>
    <xf numFmtId="1" fontId="29" fillId="0" borderId="31" xfId="0" applyNumberFormat="1" applyFont="1" applyBorder="1" applyAlignment="1" applyProtection="1">
      <alignment horizontal="center"/>
      <protection locked="0"/>
    </xf>
    <xf numFmtId="0" fontId="29" fillId="0" borderId="31" xfId="0" applyFont="1" applyBorder="1" applyAlignment="1" applyProtection="1">
      <alignment horizontal="center"/>
      <protection locked="0"/>
    </xf>
    <xf numFmtId="0" fontId="29" fillId="0" borderId="29" xfId="0" applyFont="1" applyFill="1" applyBorder="1" applyAlignment="1" applyProtection="1">
      <alignment horizontal="left" vertical="center" wrapText="1"/>
      <protection locked="0"/>
    </xf>
    <xf numFmtId="1" fontId="29" fillId="4" borderId="2" xfId="0" applyNumberFormat="1" applyFont="1" applyFill="1" applyBorder="1" applyAlignment="1" applyProtection="1">
      <alignment horizontal="center" vertical="center"/>
    </xf>
    <xf numFmtId="1" fontId="29" fillId="0" borderId="2" xfId="0" applyNumberFormat="1" applyFont="1" applyBorder="1" applyAlignment="1" applyProtection="1">
      <alignment horizontal="center" vertical="center" wrapText="1"/>
    </xf>
    <xf numFmtId="1" fontId="29" fillId="0" borderId="2" xfId="0" applyNumberFormat="1" applyFont="1" applyBorder="1" applyAlignment="1" applyProtection="1">
      <alignment horizontal="center" vertical="center"/>
    </xf>
    <xf numFmtId="180" fontId="29" fillId="0" borderId="27" xfId="0" applyNumberFormat="1" applyFont="1" applyBorder="1" applyAlignment="1" applyProtection="1">
      <alignment horizontal="center"/>
      <protection locked="0"/>
    </xf>
    <xf numFmtId="0" fontId="29" fillId="0" borderId="29" xfId="0" applyFont="1" applyFill="1" applyBorder="1" applyAlignment="1" applyProtection="1">
      <alignment horizontal="center"/>
      <protection locked="0"/>
    </xf>
    <xf numFmtId="1" fontId="28" fillId="0" borderId="29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9" fillId="0" borderId="29" xfId="0" applyFont="1" applyFill="1" applyBorder="1" applyProtection="1">
      <protection locked="0"/>
    </xf>
    <xf numFmtId="1" fontId="29" fillId="0" borderId="29" xfId="0" applyNumberFormat="1" applyFont="1" applyBorder="1" applyProtection="1">
      <protection locked="0"/>
    </xf>
    <xf numFmtId="0" fontId="29" fillId="0" borderId="29" xfId="0" applyFont="1" applyBorder="1" applyProtection="1">
      <protection locked="0"/>
    </xf>
    <xf numFmtId="180" fontId="29" fillId="0" borderId="29" xfId="0" applyNumberFormat="1" applyFont="1" applyBorder="1" applyProtection="1">
      <protection locked="0"/>
    </xf>
    <xf numFmtId="0" fontId="30" fillId="0" borderId="29" xfId="0" applyFont="1" applyBorder="1" applyProtection="1">
      <protection locked="0"/>
    </xf>
    <xf numFmtId="1" fontId="30" fillId="0" borderId="29" xfId="0" applyNumberFormat="1" applyFont="1" applyBorder="1" applyProtection="1">
      <protection locked="0"/>
    </xf>
    <xf numFmtId="0" fontId="29" fillId="0" borderId="31" xfId="0" applyFont="1" applyFill="1" applyBorder="1" applyProtection="1">
      <protection locked="0"/>
    </xf>
    <xf numFmtId="1" fontId="29" fillId="0" borderId="31" xfId="0" applyNumberFormat="1" applyFont="1" applyBorder="1" applyProtection="1">
      <protection locked="0"/>
    </xf>
    <xf numFmtId="0" fontId="29" fillId="0" borderId="31" xfId="0" applyFont="1" applyBorder="1" applyProtection="1">
      <protection locked="0"/>
    </xf>
    <xf numFmtId="0" fontId="29" fillId="0" borderId="2" xfId="0" applyFont="1" applyFill="1" applyBorder="1" applyProtection="1">
      <protection locked="0"/>
    </xf>
    <xf numFmtId="1" fontId="29" fillId="0" borderId="2" xfId="0" applyNumberFormat="1" applyFont="1" applyBorder="1" applyProtection="1">
      <protection locked="0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9" fontId="12" fillId="0" borderId="3" xfId="0" applyNumberFormat="1" applyFont="1" applyFill="1" applyBorder="1" applyAlignment="1">
      <alignment horizontal="center" vertical="center" textRotation="90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9" fontId="12" fillId="0" borderId="22" xfId="0" applyNumberFormat="1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0" fontId="28" fillId="0" borderId="32" xfId="0" applyFont="1" applyBorder="1" applyAlignment="1" applyProtection="1">
      <alignment horizontal="center"/>
      <protection locked="0"/>
    </xf>
    <xf numFmtId="1" fontId="28" fillId="0" borderId="33" xfId="0" applyNumberFormat="1" applyFont="1" applyBorder="1" applyAlignment="1" applyProtection="1">
      <alignment horizontal="center"/>
    </xf>
    <xf numFmtId="0" fontId="28" fillId="0" borderId="34" xfId="0" applyFont="1" applyBorder="1" applyAlignment="1" applyProtection="1">
      <alignment horizontal="center"/>
      <protection locked="0"/>
    </xf>
    <xf numFmtId="1" fontId="28" fillId="4" borderId="35" xfId="0" applyNumberFormat="1" applyFont="1" applyFill="1" applyBorder="1" applyAlignment="1" applyProtection="1">
      <alignment horizontal="center" vertical="center"/>
    </xf>
    <xf numFmtId="1" fontId="28" fillId="4" borderId="33" xfId="0" applyNumberFormat="1" applyFont="1" applyFill="1" applyBorder="1" applyAlignment="1" applyProtection="1">
      <alignment horizontal="center" vertical="center"/>
    </xf>
    <xf numFmtId="180" fontId="28" fillId="0" borderId="34" xfId="0" applyNumberFormat="1" applyFont="1" applyBorder="1" applyAlignment="1" applyProtection="1">
      <alignment horizontal="center"/>
    </xf>
    <xf numFmtId="180" fontId="28" fillId="0" borderId="34" xfId="0" applyNumberFormat="1" applyFont="1" applyBorder="1" applyAlignment="1" applyProtection="1">
      <alignment horizontal="center"/>
      <protection locked="0"/>
    </xf>
    <xf numFmtId="177" fontId="30" fillId="0" borderId="0" xfId="0" applyNumberFormat="1" applyFont="1" applyProtection="1">
      <protection locked="0"/>
    </xf>
    <xf numFmtId="180" fontId="29" fillId="0" borderId="34" xfId="0" applyNumberFormat="1" applyFont="1" applyBorder="1" applyProtection="1">
      <protection locked="0"/>
    </xf>
    <xf numFmtId="1" fontId="28" fillId="0" borderId="2" xfId="0" applyNumberFormat="1" applyFont="1" applyBorder="1" applyProtection="1">
      <protection locked="0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9" fillId="0" borderId="2" xfId="7" applyNumberFormat="1" applyFont="1" applyFill="1" applyBorder="1" applyAlignment="1">
      <alignment vertical="center"/>
    </xf>
    <xf numFmtId="0" fontId="26" fillId="0" borderId="2" xfId="0" applyFont="1" applyFill="1" applyBorder="1"/>
    <xf numFmtId="0" fontId="26" fillId="0" borderId="0" xfId="0" applyFont="1" applyFill="1" applyBorder="1"/>
    <xf numFmtId="0" fontId="26" fillId="0" borderId="2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13" borderId="2" xfId="0" applyFont="1" applyFill="1" applyBorder="1" applyAlignment="1">
      <alignment vertical="center"/>
    </xf>
    <xf numFmtId="0" fontId="26" fillId="13" borderId="0" xfId="0" applyFont="1" applyFill="1" applyBorder="1" applyAlignment="1">
      <alignment vertical="center"/>
    </xf>
    <xf numFmtId="0" fontId="26" fillId="4" borderId="2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36" fillId="0" borderId="2" xfId="0" applyFont="1" applyFill="1" applyBorder="1" applyAlignment="1">
      <alignment horizontal="center" vertical="center"/>
    </xf>
    <xf numFmtId="49" fontId="32" fillId="4" borderId="2" xfId="0" applyNumberFormat="1" applyFont="1" applyFill="1" applyBorder="1" applyAlignment="1">
      <alignment horizontal="center" vertical="center" wrapText="1"/>
    </xf>
    <xf numFmtId="0" fontId="32" fillId="4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center" vertical="center"/>
    </xf>
    <xf numFmtId="0" fontId="19" fillId="0" borderId="0" xfId="0" applyFont="1" applyFill="1" applyAlignment="1"/>
    <xf numFmtId="0" fontId="24" fillId="0" borderId="0" xfId="0" applyFont="1" applyFill="1" applyAlignment="1"/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8" fillId="0" borderId="0" xfId="0" applyFont="1" applyFill="1"/>
    <xf numFmtId="0" fontId="39" fillId="0" borderId="0" xfId="0" applyFont="1" applyFill="1"/>
    <xf numFmtId="0" fontId="39" fillId="4" borderId="0" xfId="0" applyFont="1" applyFill="1"/>
    <xf numFmtId="0" fontId="39" fillId="4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77" fontId="19" fillId="0" borderId="2" xfId="0" applyNumberFormat="1" applyFont="1" applyFill="1" applyBorder="1" applyAlignment="1">
      <alignment vertical="center"/>
    </xf>
    <xf numFmtId="177" fontId="19" fillId="0" borderId="2" xfId="0" applyNumberFormat="1" applyFont="1" applyFill="1" applyBorder="1" applyAlignment="1">
      <alignment horizontal="right" vertical="center"/>
    </xf>
    <xf numFmtId="0" fontId="19" fillId="0" borderId="2" xfId="0" applyNumberFormat="1" applyFont="1" applyFill="1" applyBorder="1" applyAlignment="1">
      <alignment vertical="center"/>
    </xf>
    <xf numFmtId="1" fontId="18" fillId="0" borderId="2" xfId="0" applyNumberFormat="1" applyFont="1" applyFill="1" applyBorder="1" applyAlignment="1">
      <alignment vertical="center" wrapText="1"/>
    </xf>
    <xf numFmtId="183" fontId="19" fillId="0" borderId="2" xfId="0" applyNumberFormat="1" applyFont="1" applyFill="1" applyBorder="1" applyAlignment="1">
      <alignment vertical="center"/>
    </xf>
    <xf numFmtId="1" fontId="19" fillId="0" borderId="0" xfId="0" applyNumberFormat="1" applyFont="1" applyFill="1" applyAlignment="1"/>
    <xf numFmtId="1" fontId="39" fillId="0" borderId="0" xfId="0" applyNumberFormat="1" applyFont="1" applyFill="1"/>
    <xf numFmtId="10" fontId="19" fillId="0" borderId="0" xfId="0" applyNumberFormat="1" applyFont="1" applyFill="1" applyAlignment="1"/>
    <xf numFmtId="0" fontId="39" fillId="0" borderId="0" xfId="0" applyFont="1"/>
    <xf numFmtId="177" fontId="19" fillId="0" borderId="0" xfId="0" applyNumberFormat="1" applyFont="1" applyFill="1" applyAlignment="1"/>
    <xf numFmtId="0" fontId="24" fillId="0" borderId="0" xfId="0" applyFont="1" applyFill="1" applyBorder="1" applyAlignment="1">
      <alignment horizontal="left"/>
    </xf>
  </cellXfs>
  <cellStyles count="54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Обычный 3" xfId="14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Обычный_Берсуат Ал 01,01,2009" xfId="50"/>
    <cellStyle name="60% — Акцент6" xfId="51" builtinId="52"/>
    <cellStyle name="Обычный_нш 149 январь2009" xfId="52"/>
    <cellStyle name="Финансовый 2" xfId="5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87"/>
  <sheetViews>
    <sheetView tabSelected="1" view="pageBreakPreview" zoomScale="50" zoomScaleNormal="100" topLeftCell="A72" workbookViewId="0">
      <pane xSplit="2" topLeftCell="C1" activePane="topRight" state="frozen"/>
      <selection/>
      <selection pane="topRight" activeCell="M51" sqref="M51"/>
    </sheetView>
  </sheetViews>
  <sheetFormatPr defaultColWidth="9.17777777777778" defaultRowHeight="18.75"/>
  <cols>
    <col min="1" max="1" width="11.5444444444444" style="258" customWidth="1"/>
    <col min="2" max="2" width="41.5444444444444" style="259" customWidth="1"/>
    <col min="3" max="3" width="22.4555555555556" style="259" customWidth="1"/>
    <col min="4" max="4" width="22.1777777777778" style="259" customWidth="1"/>
    <col min="5" max="5" width="25.1777777777778" style="260" customWidth="1"/>
    <col min="6" max="6" width="12" style="261" customWidth="1"/>
    <col min="7" max="7" width="12.8111111111111" style="260" customWidth="1"/>
    <col min="8" max="8" width="14.2666666666667" style="260" customWidth="1"/>
    <col min="9" max="9" width="28.5444444444444" style="262" customWidth="1"/>
    <col min="10" max="10" width="19" style="262" customWidth="1"/>
    <col min="11" max="11" width="22.1777777777778" style="262" customWidth="1"/>
    <col min="12" max="12" width="22" style="262" customWidth="1"/>
    <col min="13" max="13" width="15" style="259" customWidth="1"/>
    <col min="14" max="14" width="13.7222222222222" style="259" customWidth="1"/>
    <col min="15" max="16" width="14.1777777777778" style="259" customWidth="1"/>
    <col min="17" max="17" width="20" style="259" customWidth="1"/>
    <col min="18" max="18" width="21.5444444444444" style="259" customWidth="1"/>
    <col min="19" max="19" width="26.2666666666667" style="259" customWidth="1"/>
    <col min="20" max="20" width="22.5444444444444" style="259" customWidth="1"/>
    <col min="21" max="21" width="20" style="259" customWidth="1"/>
    <col min="22" max="23" width="16.7222222222222" style="259" customWidth="1"/>
    <col min="24" max="24" width="19.7222222222222" style="259" customWidth="1"/>
    <col min="25" max="25" width="20.5444444444444" style="259" customWidth="1"/>
    <col min="26" max="26" width="18" style="259" customWidth="1"/>
    <col min="27" max="27" width="16.4555555555556" style="259" customWidth="1"/>
    <col min="28" max="28" width="29.7222222222222" style="259" customWidth="1"/>
    <col min="29" max="29" width="13.2666666666667" style="259" customWidth="1"/>
    <col min="30" max="30" width="17.7222222222222" style="259" customWidth="1"/>
    <col min="31" max="31" width="16.7222222222222" style="259" customWidth="1"/>
    <col min="32" max="32" width="18.5444444444444" style="259" customWidth="1"/>
    <col min="33" max="33" width="22.1777777777778" style="259" customWidth="1"/>
    <col min="34" max="34" width="26.5444444444444" style="259" customWidth="1"/>
    <col min="35" max="35" width="20.4555555555556" style="259" customWidth="1"/>
    <col min="36" max="36" width="18" style="259" customWidth="1"/>
    <col min="37" max="37" width="17.7222222222222" style="259" customWidth="1"/>
    <col min="38" max="38" width="20.8111111111111" style="259" customWidth="1"/>
    <col min="39" max="39" width="21.1777777777778" style="259" customWidth="1"/>
    <col min="40" max="40" width="15.7222222222222" style="259" customWidth="1"/>
    <col min="41" max="41" width="15.1777777777778" style="259" customWidth="1"/>
    <col min="42" max="42" width="17.2666666666667" style="259" customWidth="1"/>
    <col min="43" max="45" width="14.4555555555556" style="259" customWidth="1"/>
    <col min="46" max="46" width="15.7222222222222" style="259" customWidth="1"/>
    <col min="47" max="47" width="16.1777777777778" style="259" customWidth="1"/>
    <col min="48" max="48" width="27.2666666666667" style="259" customWidth="1"/>
    <col min="49" max="49" width="37.2666666666667" style="259" customWidth="1"/>
    <col min="50" max="16384" width="9.17777777777778" style="259"/>
  </cols>
  <sheetData>
    <row r="1" s="251" customFormat="1" ht="33.75" customHeight="1" spans="1:41">
      <c r="A1" s="263"/>
      <c r="B1" s="264"/>
      <c r="C1" s="264"/>
      <c r="D1" s="264"/>
      <c r="E1" s="264"/>
      <c r="F1" s="263"/>
      <c r="G1" s="264"/>
      <c r="H1" s="264"/>
      <c r="I1" s="347"/>
      <c r="J1" s="264"/>
      <c r="K1" s="348"/>
      <c r="L1" s="348"/>
      <c r="O1" s="349"/>
      <c r="P1" s="349"/>
      <c r="Q1" s="264"/>
      <c r="R1" s="382"/>
      <c r="S1" s="264"/>
      <c r="T1" s="383"/>
      <c r="U1" s="384"/>
      <c r="V1" s="385"/>
      <c r="W1" s="386"/>
      <c r="X1" s="387"/>
      <c r="Y1" s="416"/>
      <c r="Z1" s="387"/>
      <c r="AA1" s="386"/>
      <c r="AB1" s="386"/>
      <c r="AC1" s="386"/>
      <c r="AD1" s="386"/>
      <c r="AE1" s="386"/>
      <c r="AF1" s="386"/>
      <c r="AG1" s="387"/>
      <c r="AH1" s="386"/>
      <c r="AI1" s="386"/>
      <c r="AJ1" s="386"/>
      <c r="AK1" s="264"/>
      <c r="AL1" s="264"/>
      <c r="AM1" s="264"/>
      <c r="AN1" s="386"/>
      <c r="AO1" s="264"/>
    </row>
    <row r="2" s="251" customFormat="1" ht="33" customHeight="1" spans="1:46">
      <c r="A2" s="263"/>
      <c r="B2" s="265"/>
      <c r="C2" s="265"/>
      <c r="D2" s="265"/>
      <c r="E2" s="266"/>
      <c r="F2" s="267"/>
      <c r="G2" s="265" t="s">
        <v>0</v>
      </c>
      <c r="H2" s="265"/>
      <c r="I2" s="265"/>
      <c r="J2" s="274"/>
      <c r="K2" s="274"/>
      <c r="L2" s="274"/>
      <c r="M2" s="274"/>
      <c r="N2" s="274"/>
      <c r="O2" s="274"/>
      <c r="P2" s="274"/>
      <c r="Q2" s="286"/>
      <c r="R2" s="274"/>
      <c r="S2" s="274"/>
      <c r="T2" s="388"/>
      <c r="U2" s="274"/>
      <c r="V2" s="274"/>
      <c r="W2" s="388"/>
      <c r="X2" s="389" t="s">
        <v>1</v>
      </c>
      <c r="Y2" s="417"/>
      <c r="Z2" s="418" t="s">
        <v>2</v>
      </c>
      <c r="AA2" s="419"/>
      <c r="AB2" s="419"/>
      <c r="AC2" s="419"/>
      <c r="AD2" s="419"/>
      <c r="AE2" s="419"/>
      <c r="AF2" s="419"/>
      <c r="AG2" s="418"/>
      <c r="AH2" s="419"/>
      <c r="AI2" s="419"/>
      <c r="AJ2" s="419"/>
      <c r="AK2" s="454" t="s">
        <v>3</v>
      </c>
      <c r="AL2" s="454" t="s">
        <v>4</v>
      </c>
      <c r="AM2" s="455" t="s">
        <v>5</v>
      </c>
      <c r="AN2" s="456" t="s">
        <v>6</v>
      </c>
      <c r="AO2" s="497" t="s">
        <v>7</v>
      </c>
      <c r="AP2" s="276"/>
      <c r="AQ2" s="276"/>
      <c r="AR2" s="276"/>
      <c r="AS2" s="276"/>
      <c r="AT2" s="276"/>
    </row>
    <row r="3" s="251" customFormat="1" ht="31.5" customHeight="1" spans="1:46">
      <c r="A3" s="263"/>
      <c r="B3" s="266"/>
      <c r="C3" s="266"/>
      <c r="D3" s="266"/>
      <c r="E3" s="266"/>
      <c r="F3" s="267"/>
      <c r="G3" s="266"/>
      <c r="H3" s="266"/>
      <c r="I3" s="266"/>
      <c r="J3" s="274"/>
      <c r="K3" s="274"/>
      <c r="L3" s="274"/>
      <c r="M3" s="274"/>
      <c r="N3" s="274"/>
      <c r="O3" s="274"/>
      <c r="P3" s="274"/>
      <c r="Q3" s="388" t="s">
        <v>8</v>
      </c>
      <c r="R3" s="274"/>
      <c r="S3" s="390"/>
      <c r="T3" s="390"/>
      <c r="U3" s="390"/>
      <c r="V3" s="390"/>
      <c r="W3" s="391"/>
      <c r="X3" s="392">
        <v>1</v>
      </c>
      <c r="Y3" s="420"/>
      <c r="Z3" s="421" t="s">
        <v>9</v>
      </c>
      <c r="AA3" s="422"/>
      <c r="AB3" s="422"/>
      <c r="AC3" s="422"/>
      <c r="AD3" s="422"/>
      <c r="AE3" s="422"/>
      <c r="AF3" s="422"/>
      <c r="AG3" s="457"/>
      <c r="AH3" s="422"/>
      <c r="AI3" s="422"/>
      <c r="AJ3" s="422"/>
      <c r="AK3" s="458"/>
      <c r="AL3" s="458">
        <v>8</v>
      </c>
      <c r="AM3" s="459">
        <v>8</v>
      </c>
      <c r="AN3" s="460">
        <v>4</v>
      </c>
      <c r="AO3" s="498">
        <f>AN3+AM3+AL3</f>
        <v>20</v>
      </c>
      <c r="AP3" s="276"/>
      <c r="AQ3" s="276"/>
      <c r="AR3" s="276"/>
      <c r="AS3" s="276"/>
      <c r="AT3" s="276"/>
    </row>
    <row r="4" s="251" customFormat="1" ht="32.25" customHeight="1" spans="1:46">
      <c r="A4" s="263"/>
      <c r="B4" s="266"/>
      <c r="C4" s="266"/>
      <c r="D4" s="266"/>
      <c r="E4" s="266"/>
      <c r="F4" s="267"/>
      <c r="G4" s="268"/>
      <c r="H4" s="268"/>
      <c r="I4" s="268"/>
      <c r="J4" s="266"/>
      <c r="K4" s="274"/>
      <c r="L4" s="274"/>
      <c r="M4" s="274"/>
      <c r="N4" s="274"/>
      <c r="O4" s="274"/>
      <c r="P4" s="274"/>
      <c r="Q4" s="388" t="s">
        <v>10</v>
      </c>
      <c r="R4" s="274"/>
      <c r="S4" s="274"/>
      <c r="T4" s="274"/>
      <c r="U4" s="274"/>
      <c r="V4" s="274"/>
      <c r="W4" s="388"/>
      <c r="X4" s="392">
        <v>2</v>
      </c>
      <c r="Y4" s="420"/>
      <c r="Z4" s="423" t="s">
        <v>11</v>
      </c>
      <c r="AA4" s="424"/>
      <c r="AB4" s="424"/>
      <c r="AC4" s="424"/>
      <c r="AD4" s="424"/>
      <c r="AE4" s="424"/>
      <c r="AF4" s="424"/>
      <c r="AG4" s="431"/>
      <c r="AH4" s="424"/>
      <c r="AI4" s="424"/>
      <c r="AJ4" s="424"/>
      <c r="AK4" s="461"/>
      <c r="AL4" s="461">
        <v>8</v>
      </c>
      <c r="AM4" s="462">
        <v>8</v>
      </c>
      <c r="AN4" s="463">
        <v>4</v>
      </c>
      <c r="AO4" s="499">
        <f>SUM(AK4:AN4)</f>
        <v>20</v>
      </c>
      <c r="AP4" s="276"/>
      <c r="AQ4" s="276"/>
      <c r="AR4" s="276"/>
      <c r="AS4" s="276"/>
      <c r="AT4" s="276"/>
    </row>
    <row r="5" s="251" customFormat="1" ht="78.75" customHeight="1" spans="1:46">
      <c r="A5" s="263"/>
      <c r="B5" s="269"/>
      <c r="C5" s="269"/>
      <c r="D5" s="269"/>
      <c r="E5" s="269"/>
      <c r="F5" s="270"/>
      <c r="G5" s="271" t="s">
        <v>12</v>
      </c>
      <c r="H5" s="271"/>
      <c r="I5" s="271"/>
      <c r="J5" s="271"/>
      <c r="K5" s="271"/>
      <c r="L5" s="271"/>
      <c r="M5" s="350"/>
      <c r="N5" s="350"/>
      <c r="O5" s="350"/>
      <c r="P5" s="350"/>
      <c r="Q5" s="393" t="s">
        <v>13</v>
      </c>
      <c r="R5" s="393"/>
      <c r="S5" s="393"/>
      <c r="T5" s="393"/>
      <c r="U5" s="393"/>
      <c r="V5" s="393"/>
      <c r="W5" s="394"/>
      <c r="X5" s="392">
        <v>3</v>
      </c>
      <c r="Y5" s="420"/>
      <c r="Z5" s="423" t="s">
        <v>14</v>
      </c>
      <c r="AA5" s="424"/>
      <c r="AB5" s="424"/>
      <c r="AC5" s="424"/>
      <c r="AD5" s="424"/>
      <c r="AE5" s="424"/>
      <c r="AF5" s="424"/>
      <c r="AG5" s="431"/>
      <c r="AH5" s="424"/>
      <c r="AI5" s="424"/>
      <c r="AJ5" s="424"/>
      <c r="AK5" s="464"/>
      <c r="AL5" s="464">
        <v>99</v>
      </c>
      <c r="AM5" s="465">
        <v>82</v>
      </c>
      <c r="AN5" s="466">
        <v>21</v>
      </c>
      <c r="AO5" s="499">
        <f>SUM(AK5:AN5)</f>
        <v>202</v>
      </c>
      <c r="AP5" s="276"/>
      <c r="AQ5" s="276"/>
      <c r="AR5" s="276"/>
      <c r="AS5" s="276"/>
      <c r="AT5" s="276"/>
    </row>
    <row r="6" s="251" customFormat="1" ht="48.75" customHeight="1" spans="1:46">
      <c r="A6" s="263"/>
      <c r="B6" s="266"/>
      <c r="C6" s="266"/>
      <c r="D6" s="266"/>
      <c r="E6" s="266"/>
      <c r="F6" s="267"/>
      <c r="G6" s="266"/>
      <c r="H6" s="266"/>
      <c r="I6" s="266"/>
      <c r="J6" s="274"/>
      <c r="K6" s="351"/>
      <c r="L6" s="351"/>
      <c r="M6" s="351"/>
      <c r="N6" s="274"/>
      <c r="O6" s="274"/>
      <c r="P6" s="274"/>
      <c r="Q6" s="395" t="s">
        <v>15</v>
      </c>
      <c r="R6" s="395"/>
      <c r="S6" s="396" t="s">
        <v>16</v>
      </c>
      <c r="U6" s="274"/>
      <c r="V6" s="274"/>
      <c r="W6" s="397"/>
      <c r="X6" s="398">
        <v>4</v>
      </c>
      <c r="Y6" s="425"/>
      <c r="Z6" s="426" t="s">
        <v>17</v>
      </c>
      <c r="AA6" s="427"/>
      <c r="AB6" s="427"/>
      <c r="AC6" s="427"/>
      <c r="AD6" s="427"/>
      <c r="AE6" s="427"/>
      <c r="AF6" s="427"/>
      <c r="AG6" s="467"/>
      <c r="AH6" s="427"/>
      <c r="AI6" s="427"/>
      <c r="AJ6" s="427"/>
      <c r="AK6" s="468"/>
      <c r="AL6" s="468">
        <v>193</v>
      </c>
      <c r="AM6" s="469">
        <v>315</v>
      </c>
      <c r="AN6" s="470">
        <v>138</v>
      </c>
      <c r="AO6" s="500">
        <f>AK6+AL6+AM6+AN6</f>
        <v>646</v>
      </c>
      <c r="AP6" s="276"/>
      <c r="AQ6" s="276"/>
      <c r="AR6" s="276"/>
      <c r="AS6" s="276"/>
      <c r="AT6" s="276"/>
    </row>
    <row r="7" s="251" customFormat="1" ht="59.25" customHeight="1" spans="1:46">
      <c r="A7" s="263"/>
      <c r="B7" s="267"/>
      <c r="C7" s="267"/>
      <c r="D7" s="267"/>
      <c r="E7" s="267"/>
      <c r="F7" s="267"/>
      <c r="G7" s="272" t="s">
        <v>18</v>
      </c>
      <c r="H7" s="272"/>
      <c r="I7" s="272"/>
      <c r="J7" s="272"/>
      <c r="K7" s="272"/>
      <c r="L7" s="272"/>
      <c r="M7" s="272"/>
      <c r="N7" s="272"/>
      <c r="O7" s="272"/>
      <c r="P7" s="272"/>
      <c r="Q7" s="393"/>
      <c r="R7" s="393"/>
      <c r="S7" s="393"/>
      <c r="T7" s="393"/>
      <c r="U7" s="393"/>
      <c r="V7" s="393"/>
      <c r="W7" s="394"/>
      <c r="X7" s="398"/>
      <c r="Y7" s="425"/>
      <c r="Z7" s="426"/>
      <c r="AA7" s="427"/>
      <c r="AB7" s="427"/>
      <c r="AC7" s="427"/>
      <c r="AD7" s="427"/>
      <c r="AE7" s="427"/>
      <c r="AF7" s="427"/>
      <c r="AG7" s="467"/>
      <c r="AH7" s="427"/>
      <c r="AI7" s="427"/>
      <c r="AJ7" s="427"/>
      <c r="AK7" s="468"/>
      <c r="AL7" s="468"/>
      <c r="AM7" s="469"/>
      <c r="AN7" s="470"/>
      <c r="AO7" s="501"/>
      <c r="AP7" s="276"/>
      <c r="AQ7" s="276"/>
      <c r="AR7" s="276"/>
      <c r="AS7" s="276"/>
      <c r="AT7" s="276"/>
    </row>
    <row r="8" s="251" customFormat="1" ht="27" customHeight="1" spans="1:46">
      <c r="A8" s="263"/>
      <c r="B8" s="266"/>
      <c r="C8" s="266"/>
      <c r="D8" s="266"/>
      <c r="E8" s="266"/>
      <c r="F8" s="267"/>
      <c r="G8" s="268"/>
      <c r="H8" s="268"/>
      <c r="I8" s="352"/>
      <c r="J8" s="274"/>
      <c r="K8" s="274"/>
      <c r="L8" s="274"/>
      <c r="M8" s="274"/>
      <c r="N8" s="274"/>
      <c r="O8" s="274"/>
      <c r="P8" s="274"/>
      <c r="Q8" s="395"/>
      <c r="R8" s="395"/>
      <c r="S8" s="274"/>
      <c r="T8" s="396"/>
      <c r="U8" s="274"/>
      <c r="V8" s="274"/>
      <c r="W8" s="397"/>
      <c r="X8" s="399"/>
      <c r="Y8" s="428"/>
      <c r="Z8" s="429" t="s">
        <v>19</v>
      </c>
      <c r="AA8" s="430"/>
      <c r="AB8" s="430"/>
      <c r="AC8" s="430"/>
      <c r="AD8" s="430"/>
      <c r="AE8" s="430"/>
      <c r="AF8" s="430"/>
      <c r="AG8" s="429"/>
      <c r="AH8" s="430"/>
      <c r="AI8" s="430"/>
      <c r="AJ8" s="430"/>
      <c r="AK8" s="458"/>
      <c r="AL8" s="458"/>
      <c r="AM8" s="471"/>
      <c r="AN8" s="460"/>
      <c r="AO8" s="502">
        <f>AN8+AM8+AL8</f>
        <v>0</v>
      </c>
      <c r="AP8" s="276"/>
      <c r="AQ8" s="276"/>
      <c r="AR8" s="276"/>
      <c r="AS8" s="276"/>
      <c r="AT8" s="276"/>
    </row>
    <row r="9" s="251" customFormat="1" ht="27" customHeight="1" spans="1:46">
      <c r="A9" s="263"/>
      <c r="B9" s="266"/>
      <c r="C9" s="266"/>
      <c r="D9" s="266"/>
      <c r="E9" s="266"/>
      <c r="F9" s="273"/>
      <c r="G9" s="274"/>
      <c r="H9" s="274"/>
      <c r="I9" s="274"/>
      <c r="J9" s="274"/>
      <c r="K9" s="274"/>
      <c r="L9" s="274"/>
      <c r="M9" s="274"/>
      <c r="N9" s="266"/>
      <c r="O9" s="353"/>
      <c r="P9" s="353"/>
      <c r="Q9" s="400"/>
      <c r="R9" s="266"/>
      <c r="S9" s="266"/>
      <c r="T9" s="274"/>
      <c r="U9" s="274"/>
      <c r="V9" s="274"/>
      <c r="W9" s="388"/>
      <c r="X9" s="392" t="s">
        <v>20</v>
      </c>
      <c r="Y9" s="420"/>
      <c r="Z9" s="423" t="s">
        <v>21</v>
      </c>
      <c r="AA9" s="424"/>
      <c r="AB9" s="424"/>
      <c r="AC9" s="424"/>
      <c r="AD9" s="424"/>
      <c r="AE9" s="424"/>
      <c r="AF9" s="424"/>
      <c r="AG9" s="431"/>
      <c r="AH9" s="424"/>
      <c r="AI9" s="424"/>
      <c r="AJ9" s="424"/>
      <c r="AK9" s="461"/>
      <c r="AL9" s="461">
        <v>188</v>
      </c>
      <c r="AM9" s="462">
        <v>248</v>
      </c>
      <c r="AN9" s="463">
        <v>132</v>
      </c>
      <c r="AO9" s="503">
        <f>AN9+AM9+AL9</f>
        <v>568</v>
      </c>
      <c r="AP9" s="276"/>
      <c r="AQ9" s="276"/>
      <c r="AR9" s="276"/>
      <c r="AS9" s="276"/>
      <c r="AT9" s="276"/>
    </row>
    <row r="10" s="251" customFormat="1" ht="28.5" customHeight="1" spans="1:46">
      <c r="A10" s="263"/>
      <c r="B10" s="266"/>
      <c r="C10" s="266"/>
      <c r="D10" s="266"/>
      <c r="E10" s="266"/>
      <c r="F10" s="275"/>
      <c r="G10" s="276"/>
      <c r="H10" s="276"/>
      <c r="I10" s="276"/>
      <c r="J10" s="276"/>
      <c r="K10" s="276"/>
      <c r="L10" s="276"/>
      <c r="M10" s="285"/>
      <c r="N10" s="279"/>
      <c r="O10" s="354"/>
      <c r="P10" s="354"/>
      <c r="Q10" s="279"/>
      <c r="R10" s="279"/>
      <c r="S10" s="285"/>
      <c r="T10" s="285"/>
      <c r="U10" s="285"/>
      <c r="V10" s="355"/>
      <c r="W10" s="355"/>
      <c r="X10" s="392" t="s">
        <v>22</v>
      </c>
      <c r="Y10" s="392"/>
      <c r="Z10" s="423" t="s">
        <v>23</v>
      </c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72"/>
      <c r="AL10" s="472">
        <v>4</v>
      </c>
      <c r="AM10" s="472">
        <v>5</v>
      </c>
      <c r="AN10" s="472">
        <v>6</v>
      </c>
      <c r="AO10" s="503">
        <f>AN10+AM10+AL10</f>
        <v>15</v>
      </c>
      <c r="AP10" s="276"/>
      <c r="AQ10" s="276"/>
      <c r="AR10" s="276"/>
      <c r="AS10" s="276"/>
      <c r="AT10" s="276"/>
    </row>
    <row r="11" s="251" customFormat="1" ht="33.75" customHeight="1" spans="1:46">
      <c r="A11" s="263"/>
      <c r="B11" s="266"/>
      <c r="C11" s="266"/>
      <c r="D11" s="266"/>
      <c r="E11" s="266"/>
      <c r="F11" s="275"/>
      <c r="G11" s="276"/>
      <c r="H11" s="276"/>
      <c r="I11" s="276"/>
      <c r="J11" s="276"/>
      <c r="K11" s="276"/>
      <c r="L11" s="276"/>
      <c r="M11" s="285"/>
      <c r="N11" s="279"/>
      <c r="O11" s="354"/>
      <c r="P11" s="354"/>
      <c r="Q11" s="279"/>
      <c r="R11" s="279"/>
      <c r="S11" s="279"/>
      <c r="T11" s="279"/>
      <c r="U11" s="279"/>
      <c r="V11" s="355"/>
      <c r="W11" s="355"/>
      <c r="X11" s="399"/>
      <c r="Y11" s="399"/>
      <c r="Z11" s="432" t="s">
        <v>7</v>
      </c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>
        <f>SUBTOTAL(9,AL9:AL10)</f>
        <v>192</v>
      </c>
      <c r="AM11" s="473">
        <f>SUBTOTAL(9,AM9:AM10)</f>
        <v>253</v>
      </c>
      <c r="AN11" s="474">
        <f>SUBTOTAL(9,AN9:AN10)</f>
        <v>138</v>
      </c>
      <c r="AO11" s="503">
        <f>SUBTOTAL(9,AO9:AO10)</f>
        <v>583</v>
      </c>
      <c r="AP11" s="504">
        <f>SUM(AL11)-M83</f>
        <v>-8</v>
      </c>
      <c r="AQ11" s="504">
        <f t="shared" ref="AQ11:AR11" si="0">SUM(AM11)-N83</f>
        <v>0</v>
      </c>
      <c r="AR11" s="504">
        <f t="shared" si="0"/>
        <v>-4</v>
      </c>
      <c r="AS11" s="276"/>
      <c r="AT11" s="276"/>
    </row>
    <row r="12" s="251" customFormat="1" ht="20.25" customHeight="1" spans="1:46">
      <c r="A12" s="263"/>
      <c r="B12" s="266"/>
      <c r="C12" s="266"/>
      <c r="D12" s="266"/>
      <c r="E12" s="277"/>
      <c r="F12" s="275"/>
      <c r="G12" s="276"/>
      <c r="H12" s="276"/>
      <c r="I12" s="276"/>
      <c r="J12" s="276"/>
      <c r="K12" s="276"/>
      <c r="L12" s="276"/>
      <c r="M12" s="279"/>
      <c r="N12" s="279"/>
      <c r="O12" s="355"/>
      <c r="P12" s="355"/>
      <c r="Q12" s="279"/>
      <c r="R12" s="279"/>
      <c r="S12" s="279"/>
      <c r="T12" s="279"/>
      <c r="U12" s="279"/>
      <c r="V12" s="355"/>
      <c r="W12" s="355"/>
      <c r="X12" s="392">
        <v>1</v>
      </c>
      <c r="Y12" s="392"/>
      <c r="Z12" s="423" t="s">
        <v>24</v>
      </c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75"/>
      <c r="AL12" s="475"/>
      <c r="AM12" s="476"/>
      <c r="AN12" s="477"/>
      <c r="AO12" s="505">
        <f>SUM(AL12:AN12)</f>
        <v>0</v>
      </c>
      <c r="AP12" s="276"/>
      <c r="AQ12" s="276"/>
      <c r="AR12" s="276"/>
      <c r="AS12" s="276"/>
      <c r="AT12" s="276"/>
    </row>
    <row r="13" s="251" customFormat="1" ht="24.75" customHeight="1" spans="1:46">
      <c r="A13" s="263"/>
      <c r="B13" s="266"/>
      <c r="C13" s="266"/>
      <c r="D13" s="266"/>
      <c r="E13" s="266"/>
      <c r="F13" s="275"/>
      <c r="G13" s="276"/>
      <c r="H13" s="276"/>
      <c r="I13" s="276"/>
      <c r="J13" s="276"/>
      <c r="K13" s="276"/>
      <c r="L13" s="276"/>
      <c r="M13" s="285"/>
      <c r="N13" s="285"/>
      <c r="O13" s="355"/>
      <c r="P13" s="355"/>
      <c r="Q13" s="285"/>
      <c r="R13" s="285"/>
      <c r="S13" s="285"/>
      <c r="T13" s="285"/>
      <c r="U13" s="285"/>
      <c r="V13" s="355"/>
      <c r="W13" s="355"/>
      <c r="X13" s="392">
        <v>2</v>
      </c>
      <c r="Y13" s="392"/>
      <c r="Z13" s="423" t="s">
        <v>25</v>
      </c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75"/>
      <c r="AL13" s="475">
        <v>3</v>
      </c>
      <c r="AM13" s="476"/>
      <c r="AN13" s="477"/>
      <c r="AO13" s="505">
        <f t="shared" ref="AO13:AO31" si="1">SUM(AL13:AN13)</f>
        <v>3</v>
      </c>
      <c r="AP13" s="276"/>
      <c r="AQ13" s="276"/>
      <c r="AR13" s="276"/>
      <c r="AS13" s="276"/>
      <c r="AT13" s="276"/>
    </row>
    <row r="14" s="251" customFormat="1" ht="25.5" customHeight="1" spans="1:46">
      <c r="A14" s="263"/>
      <c r="B14" s="266"/>
      <c r="C14" s="266"/>
      <c r="D14" s="266"/>
      <c r="E14" s="266"/>
      <c r="F14" s="278"/>
      <c r="G14" s="279"/>
      <c r="H14" s="279"/>
      <c r="I14" s="279"/>
      <c r="J14" s="279"/>
      <c r="K14" s="279"/>
      <c r="L14" s="279"/>
      <c r="M14" s="285"/>
      <c r="N14" s="281"/>
      <c r="O14" s="286"/>
      <c r="P14" s="286"/>
      <c r="Q14" s="281"/>
      <c r="R14" s="281"/>
      <c r="S14" s="285"/>
      <c r="T14" s="285"/>
      <c r="U14" s="285"/>
      <c r="V14" s="355"/>
      <c r="W14" s="355"/>
      <c r="X14" s="392">
        <v>3</v>
      </c>
      <c r="Y14" s="392"/>
      <c r="Z14" s="423" t="s">
        <v>26</v>
      </c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75"/>
      <c r="AL14" s="475"/>
      <c r="AM14" s="476"/>
      <c r="AN14" s="477"/>
      <c r="AO14" s="505">
        <f t="shared" si="1"/>
        <v>0</v>
      </c>
      <c r="AP14" s="276"/>
      <c r="AQ14" s="276"/>
      <c r="AR14" s="276"/>
      <c r="AS14" s="276"/>
      <c r="AT14" s="276"/>
    </row>
    <row r="15" s="251" customFormat="1" ht="27.75" customHeight="1" spans="1:46">
      <c r="A15" s="263"/>
      <c r="B15" s="266"/>
      <c r="C15" s="266"/>
      <c r="D15" s="266"/>
      <c r="E15" s="266"/>
      <c r="F15" s="280" t="s">
        <v>27</v>
      </c>
      <c r="G15" s="281"/>
      <c r="H15" s="281"/>
      <c r="I15" s="281"/>
      <c r="J15" s="281"/>
      <c r="K15" s="281"/>
      <c r="L15" s="285"/>
      <c r="M15" s="279"/>
      <c r="N15" s="279"/>
      <c r="O15" s="354"/>
      <c r="P15" s="354"/>
      <c r="Q15" s="281"/>
      <c r="R15" s="281"/>
      <c r="S15" s="285"/>
      <c r="T15" s="285"/>
      <c r="U15" s="285"/>
      <c r="V15" s="355"/>
      <c r="W15" s="355"/>
      <c r="X15" s="392">
        <v>4</v>
      </c>
      <c r="Y15" s="392"/>
      <c r="Z15" s="423" t="s">
        <v>28</v>
      </c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75"/>
      <c r="AL15" s="475"/>
      <c r="AM15" s="476"/>
      <c r="AN15" s="477"/>
      <c r="AO15" s="505">
        <f t="shared" si="1"/>
        <v>0</v>
      </c>
      <c r="AP15" s="276"/>
      <c r="AQ15" s="276"/>
      <c r="AR15" s="276"/>
      <c r="AS15" s="276"/>
      <c r="AT15" s="276"/>
    </row>
    <row r="16" s="251" customFormat="1" ht="27" customHeight="1" spans="1:46">
      <c r="A16" s="263"/>
      <c r="B16" s="266"/>
      <c r="C16" s="266"/>
      <c r="D16" s="266"/>
      <c r="E16" s="266"/>
      <c r="F16" s="282"/>
      <c r="G16" s="283" t="s">
        <v>29</v>
      </c>
      <c r="H16" s="284"/>
      <c r="I16" s="284"/>
      <c r="J16" s="284"/>
      <c r="K16" s="279"/>
      <c r="L16" s="279"/>
      <c r="M16" s="356"/>
      <c r="N16" s="356"/>
      <c r="O16" s="356"/>
      <c r="P16" s="356"/>
      <c r="Q16" s="356"/>
      <c r="R16" s="356"/>
      <c r="S16" s="281"/>
      <c r="T16" s="281"/>
      <c r="U16" s="281"/>
      <c r="V16" s="355"/>
      <c r="W16" s="355"/>
      <c r="X16" s="392">
        <v>5</v>
      </c>
      <c r="Y16" s="392"/>
      <c r="Z16" s="431" t="s">
        <v>30</v>
      </c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75"/>
      <c r="AL16" s="475"/>
      <c r="AM16" s="476"/>
      <c r="AN16" s="477"/>
      <c r="AO16" s="505">
        <f t="shared" si="1"/>
        <v>0</v>
      </c>
      <c r="AP16" s="276"/>
      <c r="AQ16" s="276"/>
      <c r="AR16" s="276"/>
      <c r="AS16" s="276"/>
      <c r="AT16" s="276"/>
    </row>
    <row r="17" s="251" customFormat="1" ht="30" customHeight="1" spans="1:46">
      <c r="A17" s="263"/>
      <c r="B17" s="266"/>
      <c r="C17" s="266"/>
      <c r="D17" s="266"/>
      <c r="E17" s="266"/>
      <c r="F17" s="278"/>
      <c r="G17" s="279"/>
      <c r="H17" s="279"/>
      <c r="I17" s="279"/>
      <c r="J17" s="279"/>
      <c r="K17" s="279"/>
      <c r="L17" s="279"/>
      <c r="M17" s="285"/>
      <c r="N17" s="285"/>
      <c r="O17" s="355"/>
      <c r="P17" s="355"/>
      <c r="Q17" s="285"/>
      <c r="R17" s="285"/>
      <c r="S17" s="285"/>
      <c r="T17" s="285"/>
      <c r="U17" s="285"/>
      <c r="V17" s="355"/>
      <c r="W17" s="355"/>
      <c r="X17" s="392">
        <v>6</v>
      </c>
      <c r="Y17" s="392"/>
      <c r="Z17" s="431" t="s">
        <v>31</v>
      </c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75"/>
      <c r="AL17" s="475">
        <v>2</v>
      </c>
      <c r="AM17" s="476"/>
      <c r="AN17" s="477"/>
      <c r="AO17" s="505">
        <f t="shared" si="1"/>
        <v>2</v>
      </c>
      <c r="AP17" s="276"/>
      <c r="AQ17" s="276"/>
      <c r="AR17" s="276"/>
      <c r="AS17" s="276"/>
      <c r="AT17" s="276"/>
    </row>
    <row r="18" s="251" customFormat="1" ht="18" customHeight="1" spans="1:46">
      <c r="A18" s="263"/>
      <c r="B18" s="266"/>
      <c r="C18" s="266"/>
      <c r="D18" s="266"/>
      <c r="E18" s="266"/>
      <c r="F18" s="282"/>
      <c r="G18" s="285"/>
      <c r="H18" s="285"/>
      <c r="I18" s="285"/>
      <c r="J18" s="285"/>
      <c r="K18" s="285"/>
      <c r="L18" s="285"/>
      <c r="M18" s="285"/>
      <c r="N18" s="285"/>
      <c r="O18" s="355"/>
      <c r="P18" s="355"/>
      <c r="Q18" s="285"/>
      <c r="R18" s="285"/>
      <c r="S18" s="285"/>
      <c r="T18" s="285"/>
      <c r="U18" s="285"/>
      <c r="V18" s="355"/>
      <c r="W18" s="355"/>
      <c r="X18" s="392">
        <v>7</v>
      </c>
      <c r="Y18" s="392"/>
      <c r="Z18" s="431" t="s">
        <v>32</v>
      </c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75"/>
      <c r="AL18" s="475"/>
      <c r="AM18" s="476"/>
      <c r="AN18" s="477"/>
      <c r="AO18" s="505">
        <f t="shared" si="1"/>
        <v>0</v>
      </c>
      <c r="AP18" s="276"/>
      <c r="AQ18" s="276"/>
      <c r="AR18" s="276"/>
      <c r="AS18" s="276"/>
      <c r="AT18" s="276"/>
    </row>
    <row r="19" s="251" customFormat="1" ht="25.5" customHeight="1" spans="1:46">
      <c r="A19" s="263"/>
      <c r="B19" s="266"/>
      <c r="C19" s="266"/>
      <c r="D19" s="266"/>
      <c r="E19" s="266"/>
      <c r="F19" s="280"/>
      <c r="G19" s="286" t="s">
        <v>33</v>
      </c>
      <c r="H19" s="285"/>
      <c r="I19" s="285"/>
      <c r="J19" s="357"/>
      <c r="K19" s="281"/>
      <c r="L19" s="279"/>
      <c r="M19" s="285"/>
      <c r="N19" s="285"/>
      <c r="O19" s="355"/>
      <c r="P19" s="355"/>
      <c r="Q19" s="285"/>
      <c r="R19" s="285"/>
      <c r="S19" s="285"/>
      <c r="T19" s="285"/>
      <c r="U19" s="285"/>
      <c r="V19" s="355"/>
      <c r="W19" s="355"/>
      <c r="X19" s="392">
        <v>8</v>
      </c>
      <c r="Y19" s="392"/>
      <c r="Z19" s="431" t="s">
        <v>34</v>
      </c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75"/>
      <c r="AL19" s="475"/>
      <c r="AM19" s="476"/>
      <c r="AN19" s="477"/>
      <c r="AO19" s="505">
        <f t="shared" si="1"/>
        <v>0</v>
      </c>
      <c r="AP19" s="276"/>
      <c r="AQ19" s="276"/>
      <c r="AR19" s="276"/>
      <c r="AS19" s="276"/>
      <c r="AT19" s="276"/>
    </row>
    <row r="20" s="251" customFormat="1" ht="25.5" customHeight="1" spans="1:46">
      <c r="A20" s="263"/>
      <c r="B20" s="266"/>
      <c r="C20" s="266"/>
      <c r="D20" s="266"/>
      <c r="E20" s="266"/>
      <c r="F20" s="282"/>
      <c r="G20" s="285"/>
      <c r="H20" s="285"/>
      <c r="I20" s="285"/>
      <c r="J20" s="285"/>
      <c r="K20" s="285"/>
      <c r="L20" s="285"/>
      <c r="M20" s="285"/>
      <c r="N20" s="285"/>
      <c r="O20" s="355"/>
      <c r="P20" s="355"/>
      <c r="Q20" s="285"/>
      <c r="R20" s="285"/>
      <c r="S20" s="285"/>
      <c r="T20" s="285"/>
      <c r="U20" s="285"/>
      <c r="V20" s="355"/>
      <c r="W20" s="355"/>
      <c r="X20" s="392">
        <v>9</v>
      </c>
      <c r="Y20" s="392"/>
      <c r="Z20" s="431" t="s">
        <v>30</v>
      </c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75"/>
      <c r="AL20" s="475">
        <v>1</v>
      </c>
      <c r="AM20" s="478"/>
      <c r="AN20" s="477"/>
      <c r="AO20" s="505">
        <f t="shared" si="1"/>
        <v>1</v>
      </c>
      <c r="AP20" s="276"/>
      <c r="AQ20" s="276"/>
      <c r="AR20" s="276"/>
      <c r="AS20" s="276"/>
      <c r="AT20" s="276"/>
    </row>
    <row r="21" s="251" customFormat="1" ht="28.5" customHeight="1" spans="1:46">
      <c r="A21" s="263"/>
      <c r="B21" s="266"/>
      <c r="C21" s="266"/>
      <c r="D21" s="266"/>
      <c r="E21" s="266"/>
      <c r="F21" s="282"/>
      <c r="G21" s="285"/>
      <c r="H21" s="285"/>
      <c r="I21" s="285"/>
      <c r="J21" s="285"/>
      <c r="K21" s="285"/>
      <c r="L21" s="285"/>
      <c r="M21" s="285"/>
      <c r="N21" s="285"/>
      <c r="O21" s="355"/>
      <c r="P21" s="355"/>
      <c r="Q21" s="285"/>
      <c r="R21" s="285"/>
      <c r="S21" s="285"/>
      <c r="T21" s="285"/>
      <c r="U21" s="285"/>
      <c r="V21" s="355"/>
      <c r="W21" s="355"/>
      <c r="X21" s="392">
        <v>10</v>
      </c>
      <c r="Y21" s="392"/>
      <c r="Z21" s="431" t="s">
        <v>35</v>
      </c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75"/>
      <c r="AL21" s="475"/>
      <c r="AM21" s="476"/>
      <c r="AN21" s="477"/>
      <c r="AO21" s="505">
        <f t="shared" si="1"/>
        <v>0</v>
      </c>
      <c r="AP21" s="276"/>
      <c r="AQ21" s="276"/>
      <c r="AR21" s="276"/>
      <c r="AS21" s="276"/>
      <c r="AT21" s="276"/>
    </row>
    <row r="22" s="251" customFormat="1" ht="22.5" customHeight="1" spans="1:46">
      <c r="A22" s="263"/>
      <c r="B22" s="266"/>
      <c r="C22" s="266"/>
      <c r="D22" s="266"/>
      <c r="E22" s="266"/>
      <c r="F22" s="282"/>
      <c r="G22" s="285"/>
      <c r="H22" s="285"/>
      <c r="I22" s="285"/>
      <c r="J22" s="285"/>
      <c r="K22" s="285"/>
      <c r="L22" s="285"/>
      <c r="M22" s="285"/>
      <c r="N22" s="285"/>
      <c r="O22" s="355"/>
      <c r="P22" s="355"/>
      <c r="Q22" s="285"/>
      <c r="R22" s="285"/>
      <c r="S22" s="285"/>
      <c r="T22" s="285"/>
      <c r="U22" s="285"/>
      <c r="V22" s="355"/>
      <c r="W22" s="355"/>
      <c r="X22" s="392">
        <v>11</v>
      </c>
      <c r="Y22" s="392"/>
      <c r="Z22" s="431" t="s">
        <v>36</v>
      </c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75"/>
      <c r="AL22" s="475"/>
      <c r="AM22" s="476"/>
      <c r="AN22" s="477"/>
      <c r="AO22" s="505">
        <f t="shared" si="1"/>
        <v>0</v>
      </c>
      <c r="AP22" s="276"/>
      <c r="AQ22" s="276"/>
      <c r="AR22" s="276"/>
      <c r="AS22" s="276"/>
      <c r="AT22" s="276"/>
    </row>
    <row r="23" s="251" customFormat="1" ht="28.5" customHeight="1" spans="1:46">
      <c r="A23" s="263"/>
      <c r="B23" s="266"/>
      <c r="C23" s="266"/>
      <c r="D23" s="266"/>
      <c r="E23" s="266"/>
      <c r="F23" s="282"/>
      <c r="G23" s="285"/>
      <c r="H23" s="285"/>
      <c r="I23" s="285"/>
      <c r="J23" s="285"/>
      <c r="K23" s="285"/>
      <c r="L23" s="285"/>
      <c r="M23" s="285"/>
      <c r="N23" s="285"/>
      <c r="O23" s="355"/>
      <c r="P23" s="355"/>
      <c r="Q23" s="285"/>
      <c r="R23" s="285"/>
      <c r="S23" s="285"/>
      <c r="T23" s="285"/>
      <c r="U23" s="285"/>
      <c r="V23" s="355"/>
      <c r="W23" s="355"/>
      <c r="X23" s="392">
        <v>12</v>
      </c>
      <c r="Y23" s="392"/>
      <c r="Z23" s="431" t="s">
        <v>37</v>
      </c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75"/>
      <c r="AL23" s="475"/>
      <c r="AM23" s="476"/>
      <c r="AN23" s="477"/>
      <c r="AO23" s="505">
        <f t="shared" si="1"/>
        <v>0</v>
      </c>
      <c r="AP23" s="276"/>
      <c r="AQ23" s="276"/>
      <c r="AR23" s="276"/>
      <c r="AS23" s="276"/>
      <c r="AT23" s="276"/>
    </row>
    <row r="24" s="251" customFormat="1" ht="24.75" customHeight="1" spans="1:46">
      <c r="A24" s="263"/>
      <c r="B24" s="266"/>
      <c r="C24" s="268" t="s">
        <v>38</v>
      </c>
      <c r="D24" s="268"/>
      <c r="E24" s="268"/>
      <c r="F24" s="280">
        <v>20</v>
      </c>
      <c r="G24" s="285"/>
      <c r="H24" s="285"/>
      <c r="I24" s="285"/>
      <c r="J24" s="285"/>
      <c r="K24" s="285"/>
      <c r="L24" s="285"/>
      <c r="M24" s="285"/>
      <c r="N24" s="285"/>
      <c r="O24" s="355"/>
      <c r="P24" s="355"/>
      <c r="Q24" s="285"/>
      <c r="R24" s="285"/>
      <c r="S24" s="285"/>
      <c r="T24" s="285"/>
      <c r="U24" s="285"/>
      <c r="V24" s="355"/>
      <c r="W24" s="355"/>
      <c r="X24" s="392">
        <v>13</v>
      </c>
      <c r="Y24" s="392"/>
      <c r="Z24" s="431" t="s">
        <v>39</v>
      </c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75"/>
      <c r="AL24" s="475"/>
      <c r="AM24" s="476"/>
      <c r="AN24" s="477"/>
      <c r="AO24" s="505">
        <f t="shared" si="1"/>
        <v>0</v>
      </c>
      <c r="AP24" s="276"/>
      <c r="AQ24" s="276"/>
      <c r="AR24" s="276"/>
      <c r="AS24" s="276"/>
      <c r="AT24" s="276"/>
    </row>
    <row r="25" s="251" customFormat="1" ht="23.25" customHeight="1" spans="1:46">
      <c r="A25" s="263"/>
      <c r="B25" s="266"/>
      <c r="C25" s="268"/>
      <c r="D25" s="268"/>
      <c r="E25" s="268"/>
      <c r="F25" s="282"/>
      <c r="G25" s="285"/>
      <c r="H25" s="285"/>
      <c r="I25" s="285"/>
      <c r="J25" s="285"/>
      <c r="K25" s="285"/>
      <c r="L25" s="285"/>
      <c r="M25" s="285"/>
      <c r="N25" s="285"/>
      <c r="O25" s="355"/>
      <c r="P25" s="355"/>
      <c r="Q25" s="285"/>
      <c r="R25" s="285"/>
      <c r="S25" s="285"/>
      <c r="T25" s="285"/>
      <c r="U25" s="285"/>
      <c r="V25" s="355"/>
      <c r="W25" s="355"/>
      <c r="X25" s="392">
        <v>14</v>
      </c>
      <c r="Y25" s="392"/>
      <c r="Z25" s="431" t="s">
        <v>40</v>
      </c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75"/>
      <c r="AL25" s="475"/>
      <c r="AM25" s="476"/>
      <c r="AN25" s="477"/>
      <c r="AO25" s="505">
        <f t="shared" si="1"/>
        <v>0</v>
      </c>
      <c r="AP25" s="276"/>
      <c r="AQ25" s="276"/>
      <c r="AR25" s="276"/>
      <c r="AS25" s="276"/>
      <c r="AT25" s="276"/>
    </row>
    <row r="26" s="251" customFormat="1" ht="25.5" customHeight="1" spans="1:46">
      <c r="A26" s="263"/>
      <c r="B26" s="266"/>
      <c r="C26" s="268" t="s">
        <v>41</v>
      </c>
      <c r="D26" s="268"/>
      <c r="E26" s="268">
        <v>202</v>
      </c>
      <c r="F26" s="282"/>
      <c r="G26" s="285"/>
      <c r="H26" s="285"/>
      <c r="I26" s="285"/>
      <c r="J26" s="285"/>
      <c r="K26" s="285"/>
      <c r="L26" s="285"/>
      <c r="M26" s="285"/>
      <c r="N26" s="285"/>
      <c r="O26" s="355"/>
      <c r="P26" s="355"/>
      <c r="Q26" s="285"/>
      <c r="R26" s="285"/>
      <c r="S26" s="285"/>
      <c r="T26" s="285"/>
      <c r="U26" s="285"/>
      <c r="V26" s="355"/>
      <c r="W26" s="355"/>
      <c r="X26" s="392">
        <v>15</v>
      </c>
      <c r="Y26" s="434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75"/>
      <c r="AL26" s="475"/>
      <c r="AM26" s="477"/>
      <c r="AN26" s="477"/>
      <c r="AO26" s="505">
        <f t="shared" si="1"/>
        <v>0</v>
      </c>
      <c r="AP26" s="276"/>
      <c r="AQ26" s="276"/>
      <c r="AR26" s="276"/>
      <c r="AS26" s="276"/>
      <c r="AT26" s="276"/>
    </row>
    <row r="27" s="252" customFormat="1" ht="22.5" customHeight="1" spans="1:46">
      <c r="A27" s="287"/>
      <c r="B27" s="276"/>
      <c r="C27" s="276"/>
      <c r="D27" s="276"/>
      <c r="E27" s="276"/>
      <c r="F27" s="275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392">
        <v>16</v>
      </c>
      <c r="Y27" s="435"/>
      <c r="Z27" s="431" t="s">
        <v>42</v>
      </c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79"/>
      <c r="AL27" s="479"/>
      <c r="AM27" s="480"/>
      <c r="AN27" s="479"/>
      <c r="AO27" s="505">
        <f t="shared" si="1"/>
        <v>0</v>
      </c>
      <c r="AP27" s="276"/>
      <c r="AQ27" s="276"/>
      <c r="AR27" s="276"/>
      <c r="AS27" s="276"/>
      <c r="AT27" s="276"/>
    </row>
    <row r="28" s="251" customFormat="1" ht="33.75" customHeight="1" spans="1:46">
      <c r="A28" s="263"/>
      <c r="B28" s="266"/>
      <c r="C28" s="266"/>
      <c r="D28" s="266"/>
      <c r="E28" s="266"/>
      <c r="F28" s="282"/>
      <c r="G28" s="285"/>
      <c r="H28" s="285"/>
      <c r="I28" s="285"/>
      <c r="J28" s="285"/>
      <c r="K28" s="285"/>
      <c r="L28" s="285"/>
      <c r="M28" s="285"/>
      <c r="N28" s="285"/>
      <c r="O28" s="355"/>
      <c r="P28" s="355"/>
      <c r="Q28" s="285"/>
      <c r="R28" s="285"/>
      <c r="S28" s="285"/>
      <c r="T28" s="285"/>
      <c r="U28" s="285"/>
      <c r="V28" s="355"/>
      <c r="W28" s="355"/>
      <c r="X28" s="392">
        <v>17</v>
      </c>
      <c r="Y28" s="392"/>
      <c r="Z28" s="431" t="s">
        <v>43</v>
      </c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75"/>
      <c r="AL28" s="475"/>
      <c r="AM28" s="476"/>
      <c r="AN28" s="477"/>
      <c r="AO28" s="505">
        <f t="shared" si="1"/>
        <v>0</v>
      </c>
      <c r="AP28" s="276"/>
      <c r="AQ28" s="276"/>
      <c r="AR28" s="276"/>
      <c r="AS28" s="276"/>
      <c r="AT28" s="276"/>
    </row>
    <row r="29" s="251" customFormat="1" ht="31.5" customHeight="1" spans="1:46">
      <c r="A29" s="263"/>
      <c r="B29" s="266"/>
      <c r="C29" s="266"/>
      <c r="D29" s="266"/>
      <c r="E29" s="266"/>
      <c r="F29" s="282"/>
      <c r="G29" s="285"/>
      <c r="H29" s="285"/>
      <c r="I29" s="285"/>
      <c r="J29" s="285"/>
      <c r="K29" s="285"/>
      <c r="L29" s="285"/>
      <c r="M29" s="285"/>
      <c r="N29" s="285"/>
      <c r="O29" s="355"/>
      <c r="P29" s="355"/>
      <c r="Q29" s="285"/>
      <c r="R29" s="285"/>
      <c r="S29" s="285"/>
      <c r="T29" s="285"/>
      <c r="U29" s="285"/>
      <c r="V29" s="355"/>
      <c r="W29" s="355"/>
      <c r="X29" s="392">
        <v>18</v>
      </c>
      <c r="Y29" s="392"/>
      <c r="Z29" s="431" t="s">
        <v>44</v>
      </c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75"/>
      <c r="AL29" s="475"/>
      <c r="AM29" s="476"/>
      <c r="AN29" s="477"/>
      <c r="AO29" s="505">
        <f t="shared" si="1"/>
        <v>0</v>
      </c>
      <c r="AP29" s="276"/>
      <c r="AQ29" s="276"/>
      <c r="AR29" s="276"/>
      <c r="AS29" s="276"/>
      <c r="AT29" s="276"/>
    </row>
    <row r="30" s="251" customFormat="1" ht="29.25" customHeight="1" spans="1:46">
      <c r="A30" s="263"/>
      <c r="B30" s="266"/>
      <c r="C30" s="266"/>
      <c r="D30" s="266"/>
      <c r="E30" s="266"/>
      <c r="F30" s="282"/>
      <c r="G30" s="285"/>
      <c r="H30" s="285"/>
      <c r="I30" s="285"/>
      <c r="J30" s="285"/>
      <c r="K30" s="285"/>
      <c r="L30" s="285"/>
      <c r="M30" s="285"/>
      <c r="N30" s="285"/>
      <c r="O30" s="355"/>
      <c r="P30" s="355"/>
      <c r="Q30" s="285"/>
      <c r="R30" s="279"/>
      <c r="S30" s="285"/>
      <c r="T30" s="285"/>
      <c r="U30" s="285"/>
      <c r="V30" s="355"/>
      <c r="W30" s="355"/>
      <c r="X30" s="392">
        <v>19</v>
      </c>
      <c r="Y30" s="392"/>
      <c r="Z30" s="431" t="s">
        <v>45</v>
      </c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75"/>
      <c r="AL30" s="475"/>
      <c r="AM30" s="476"/>
      <c r="AN30" s="477"/>
      <c r="AO30" s="505">
        <f t="shared" si="1"/>
        <v>0</v>
      </c>
      <c r="AP30" s="276"/>
      <c r="AQ30" s="276"/>
      <c r="AR30" s="276"/>
      <c r="AS30" s="276"/>
      <c r="AT30" s="276"/>
    </row>
    <row r="31" s="251" customFormat="1" ht="38.25" customHeight="1" spans="1:46">
      <c r="A31" s="263"/>
      <c r="B31" s="266"/>
      <c r="C31" s="266"/>
      <c r="D31" s="266"/>
      <c r="E31" s="266"/>
      <c r="F31" s="282"/>
      <c r="G31" s="285"/>
      <c r="H31" s="285"/>
      <c r="I31" s="285"/>
      <c r="J31" s="285"/>
      <c r="K31" s="285"/>
      <c r="L31" s="285"/>
      <c r="M31" s="285"/>
      <c r="N31" s="285"/>
      <c r="O31" s="355"/>
      <c r="P31" s="355"/>
      <c r="Q31" s="285"/>
      <c r="R31" s="285"/>
      <c r="S31" s="285"/>
      <c r="T31" s="285"/>
      <c r="U31" s="285"/>
      <c r="V31" s="355"/>
      <c r="W31" s="355"/>
      <c r="X31" s="392">
        <v>20</v>
      </c>
      <c r="Y31" s="392"/>
      <c r="Z31" s="437" t="s">
        <v>46</v>
      </c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81"/>
      <c r="AL31" s="481"/>
      <c r="AM31" s="482"/>
      <c r="AN31" s="483"/>
      <c r="AO31" s="505">
        <f t="shared" si="1"/>
        <v>0</v>
      </c>
      <c r="AP31" s="276"/>
      <c r="AQ31" s="276"/>
      <c r="AR31" s="276"/>
      <c r="AS31" s="276"/>
      <c r="AT31" s="276"/>
    </row>
    <row r="32" s="251" customFormat="1" ht="36" customHeight="1" spans="1:46">
      <c r="A32" s="263"/>
      <c r="B32" s="266"/>
      <c r="C32" s="266"/>
      <c r="D32" s="266"/>
      <c r="E32" s="266"/>
      <c r="F32" s="282"/>
      <c r="G32" s="285"/>
      <c r="H32" s="285"/>
      <c r="I32" s="285"/>
      <c r="J32" s="285"/>
      <c r="K32" s="285"/>
      <c r="L32" s="285"/>
      <c r="M32" s="285"/>
      <c r="N32" s="285"/>
      <c r="O32" s="355"/>
      <c r="P32" s="355"/>
      <c r="Q32" s="285"/>
      <c r="R32" s="285"/>
      <c r="S32" s="279"/>
      <c r="T32" s="285"/>
      <c r="U32" s="285"/>
      <c r="V32" s="355"/>
      <c r="W32" s="355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84"/>
      <c r="AL32" s="484">
        <f>SUM(AL12:AL31)</f>
        <v>6</v>
      </c>
      <c r="AM32" s="485">
        <f>SUM(AM12:AM31)</f>
        <v>0</v>
      </c>
      <c r="AN32" s="485">
        <f>SUM(AN12:AN31)</f>
        <v>0</v>
      </c>
      <c r="AO32" s="506">
        <f>SUM(AO12:AO31)</f>
        <v>6</v>
      </c>
      <c r="AP32" s="276"/>
      <c r="AQ32" s="276"/>
      <c r="AR32" s="276"/>
      <c r="AS32" s="276"/>
      <c r="AT32" s="276"/>
    </row>
    <row r="33" s="253" customFormat="1" ht="24.75" customHeight="1" spans="1:46">
      <c r="A33" s="288"/>
      <c r="B33" s="289"/>
      <c r="C33" s="289"/>
      <c r="D33" s="289"/>
      <c r="E33" s="290"/>
      <c r="F33" s="291"/>
      <c r="G33" s="290"/>
      <c r="H33" s="290"/>
      <c r="I33" s="358"/>
      <c r="J33" s="358"/>
      <c r="K33" s="358"/>
      <c r="L33" s="358"/>
      <c r="M33" s="359" t="s">
        <v>47</v>
      </c>
      <c r="N33" s="359"/>
      <c r="O33" s="359"/>
      <c r="P33" s="35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438"/>
      <c r="AF33" s="292"/>
      <c r="AG33" s="292"/>
      <c r="AH33" s="292"/>
      <c r="AI33" s="292"/>
      <c r="AJ33" s="292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</row>
    <row r="34" s="253" customFormat="1" ht="28.5" customHeight="1" spans="1:46">
      <c r="A34" s="288"/>
      <c r="B34" s="289"/>
      <c r="C34" s="289"/>
      <c r="D34" s="289"/>
      <c r="E34" s="290"/>
      <c r="F34" s="291"/>
      <c r="G34" s="290"/>
      <c r="H34" s="290"/>
      <c r="I34" s="358"/>
      <c r="J34" s="358"/>
      <c r="K34" s="358"/>
      <c r="L34" s="358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438"/>
      <c r="AF34" s="292"/>
      <c r="AG34" s="292"/>
      <c r="AH34" s="292"/>
      <c r="AI34" s="292"/>
      <c r="AJ34" s="292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</row>
    <row r="35" s="253" customFormat="1" ht="22.5" customHeight="1" spans="1:46">
      <c r="A35" s="288"/>
      <c r="B35" s="292"/>
      <c r="C35" s="292"/>
      <c r="D35" s="292"/>
      <c r="E35" s="293"/>
      <c r="F35" s="291"/>
      <c r="G35" s="293"/>
      <c r="H35" s="293"/>
      <c r="I35" s="361">
        <v>17697</v>
      </c>
      <c r="J35" s="361"/>
      <c r="K35" s="361"/>
      <c r="L35" s="361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486"/>
      <c r="AL35" s="486"/>
      <c r="AM35" s="487">
        <v>3450</v>
      </c>
      <c r="AN35" s="487"/>
      <c r="AO35" s="486"/>
      <c r="AP35" s="486"/>
      <c r="AQ35" s="486"/>
      <c r="AR35" s="486"/>
      <c r="AS35" s="486"/>
      <c r="AT35" s="486"/>
    </row>
    <row r="36" s="253" customFormat="1" ht="1.5" hidden="1" customHeight="1" spans="1:46">
      <c r="A36" s="288"/>
      <c r="B36" s="292"/>
      <c r="C36" s="292"/>
      <c r="D36" s="292"/>
      <c r="E36" s="293"/>
      <c r="F36" s="291"/>
      <c r="G36" s="293"/>
      <c r="H36" s="293"/>
      <c r="I36" s="361"/>
      <c r="J36" s="361"/>
      <c r="K36" s="361"/>
      <c r="L36" s="361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</row>
    <row r="37" s="253" customFormat="1" ht="34.5" hidden="1" customHeight="1" spans="1:46">
      <c r="A37" s="288"/>
      <c r="B37" s="292"/>
      <c r="C37" s="292"/>
      <c r="D37" s="292"/>
      <c r="E37" s="293"/>
      <c r="F37" s="291"/>
      <c r="G37" s="293"/>
      <c r="H37" s="293"/>
      <c r="I37" s="361"/>
      <c r="J37" s="361"/>
      <c r="K37" s="361"/>
      <c r="L37" s="361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</row>
    <row r="38" s="253" customFormat="1" ht="34.5" hidden="1" customHeight="1" spans="1:46">
      <c r="A38" s="288"/>
      <c r="B38" s="292"/>
      <c r="C38" s="292"/>
      <c r="D38" s="292"/>
      <c r="E38" s="293"/>
      <c r="F38" s="291"/>
      <c r="G38" s="293"/>
      <c r="H38" s="293"/>
      <c r="I38" s="361"/>
      <c r="J38" s="361"/>
      <c r="K38" s="361"/>
      <c r="L38" s="361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</row>
    <row r="39" s="253" customFormat="1" ht="32.25" hidden="1" customHeight="1" spans="1:46">
      <c r="A39" s="288"/>
      <c r="B39" s="292"/>
      <c r="C39" s="292"/>
      <c r="D39" s="292"/>
      <c r="E39" s="293"/>
      <c r="F39" s="291"/>
      <c r="G39" s="293"/>
      <c r="H39" s="293"/>
      <c r="I39" s="361"/>
      <c r="J39" s="361"/>
      <c r="K39" s="361"/>
      <c r="L39" s="361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</row>
    <row r="40" s="253" customFormat="1" ht="34.5" hidden="1" customHeight="1" spans="1:46">
      <c r="A40" s="288"/>
      <c r="B40" s="292"/>
      <c r="C40" s="292"/>
      <c r="D40" s="292"/>
      <c r="E40" s="293"/>
      <c r="F40" s="291"/>
      <c r="G40" s="293"/>
      <c r="H40" s="293"/>
      <c r="I40" s="361"/>
      <c r="J40" s="361"/>
      <c r="K40" s="361"/>
      <c r="L40" s="361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</row>
    <row r="41" s="253" customFormat="1" ht="42.75" customHeight="1" spans="1:50">
      <c r="A41" s="294" t="s">
        <v>48</v>
      </c>
      <c r="B41" s="294" t="s">
        <v>49</v>
      </c>
      <c r="C41" s="294" t="s">
        <v>50</v>
      </c>
      <c r="D41" s="294" t="s">
        <v>51</v>
      </c>
      <c r="E41" s="295" t="s">
        <v>52</v>
      </c>
      <c r="F41" s="296" t="s">
        <v>53</v>
      </c>
      <c r="G41" s="297" t="s">
        <v>54</v>
      </c>
      <c r="H41" s="298" t="s">
        <v>55</v>
      </c>
      <c r="I41" s="362" t="s">
        <v>56</v>
      </c>
      <c r="J41" s="363" t="s">
        <v>57</v>
      </c>
      <c r="K41" s="364" t="s">
        <v>58</v>
      </c>
      <c r="L41" s="364" t="s">
        <v>59</v>
      </c>
      <c r="M41" s="365"/>
      <c r="N41" s="365"/>
      <c r="O41" s="366"/>
      <c r="P41" s="365"/>
      <c r="Q41" s="402"/>
      <c r="R41" s="402"/>
      <c r="S41" s="403"/>
      <c r="T41" s="404" t="s">
        <v>60</v>
      </c>
      <c r="U41" s="405">
        <v>0.1</v>
      </c>
      <c r="V41" s="406" t="s">
        <v>61</v>
      </c>
      <c r="W41" s="407"/>
      <c r="X41" s="408" t="s">
        <v>62</v>
      </c>
      <c r="Y41" s="408"/>
      <c r="Z41" s="439" t="s">
        <v>63</v>
      </c>
      <c r="AA41" s="440"/>
      <c r="AB41" s="441"/>
      <c r="AC41" s="442" t="s">
        <v>64</v>
      </c>
      <c r="AD41" s="443"/>
      <c r="AE41" s="444"/>
      <c r="AF41" s="444"/>
      <c r="AG41" s="488"/>
      <c r="AH41" s="489" t="s">
        <v>65</v>
      </c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507"/>
      <c r="AV41" s="508" t="s">
        <v>66</v>
      </c>
      <c r="AW41" s="510"/>
      <c r="AX41" s="511"/>
    </row>
    <row r="42" s="253" customFormat="1" ht="171" customHeight="1" spans="1:50">
      <c r="A42" s="294"/>
      <c r="B42" s="294"/>
      <c r="C42" s="294"/>
      <c r="D42" s="294"/>
      <c r="E42" s="299"/>
      <c r="F42" s="296"/>
      <c r="G42" s="297"/>
      <c r="H42" s="300"/>
      <c r="I42" s="367"/>
      <c r="J42" s="368"/>
      <c r="K42" s="369"/>
      <c r="L42" s="369"/>
      <c r="M42" s="370" t="s">
        <v>67</v>
      </c>
      <c r="N42" s="370" t="s">
        <v>68</v>
      </c>
      <c r="O42" s="370" t="s">
        <v>69</v>
      </c>
      <c r="P42" s="370" t="s">
        <v>70</v>
      </c>
      <c r="Q42" s="370" t="s">
        <v>67</v>
      </c>
      <c r="R42" s="370" t="s">
        <v>68</v>
      </c>
      <c r="S42" s="370" t="s">
        <v>69</v>
      </c>
      <c r="T42" s="409"/>
      <c r="U42" s="410"/>
      <c r="V42" s="411" t="s">
        <v>71</v>
      </c>
      <c r="W42" s="411" t="s">
        <v>72</v>
      </c>
      <c r="X42" s="411" t="s">
        <v>73</v>
      </c>
      <c r="Y42" s="411" t="s">
        <v>74</v>
      </c>
      <c r="Z42" s="368" t="s">
        <v>75</v>
      </c>
      <c r="AA42" s="445" t="s">
        <v>76</v>
      </c>
      <c r="AB42" s="446" t="s">
        <v>77</v>
      </c>
      <c r="AC42" s="445"/>
      <c r="AD42" s="447" t="s">
        <v>78</v>
      </c>
      <c r="AE42" s="447" t="s">
        <v>79</v>
      </c>
      <c r="AF42" s="448">
        <v>0.4</v>
      </c>
      <c r="AG42" s="448">
        <v>0.5</v>
      </c>
      <c r="AH42" s="491" t="s">
        <v>80</v>
      </c>
      <c r="AI42" s="491" t="s">
        <v>81</v>
      </c>
      <c r="AJ42" s="492" t="s">
        <v>82</v>
      </c>
      <c r="AK42" s="493"/>
      <c r="AL42" s="492" t="s">
        <v>83</v>
      </c>
      <c r="AM42" s="493"/>
      <c r="AN42" s="411" t="s">
        <v>84</v>
      </c>
      <c r="AO42" s="492" t="s">
        <v>85</v>
      </c>
      <c r="AP42" s="493"/>
      <c r="AQ42" s="492" t="s">
        <v>86</v>
      </c>
      <c r="AR42" s="493"/>
      <c r="AS42" s="492" t="s">
        <v>87</v>
      </c>
      <c r="AT42" s="493"/>
      <c r="AU42" s="411" t="s">
        <v>88</v>
      </c>
      <c r="AV42" s="368"/>
      <c r="AW42" s="510"/>
      <c r="AX42" s="511"/>
    </row>
    <row r="43" s="254" customFormat="1" ht="60.75" customHeight="1" spans="1:50">
      <c r="A43" s="301">
        <v>1</v>
      </c>
      <c r="B43" s="302" t="s">
        <v>89</v>
      </c>
      <c r="C43" s="303" t="s">
        <v>90</v>
      </c>
      <c r="D43" s="304" t="s">
        <v>91</v>
      </c>
      <c r="E43" s="304" t="s">
        <v>92</v>
      </c>
      <c r="F43" s="305" t="s">
        <v>93</v>
      </c>
      <c r="G43" s="306">
        <v>5.41</v>
      </c>
      <c r="H43" s="307" t="s">
        <v>94</v>
      </c>
      <c r="I43" s="371">
        <f t="shared" ref="I43:I82" si="2">17697*G43</f>
        <v>95740.77</v>
      </c>
      <c r="J43" s="372">
        <f t="shared" ref="J43:J82" si="3">I43*0.25</f>
        <v>23935.1925</v>
      </c>
      <c r="K43" s="372">
        <f>(I43+J43)*1</f>
        <v>119675.9625</v>
      </c>
      <c r="L43" s="372">
        <f>(I43+J43)*2</f>
        <v>239351.925</v>
      </c>
      <c r="M43" s="373"/>
      <c r="N43" s="374">
        <v>17.5</v>
      </c>
      <c r="O43" s="375">
        <v>6</v>
      </c>
      <c r="P43" s="376">
        <f t="shared" ref="P43:P82" si="4">SUM(M43:O43)</f>
        <v>23.5</v>
      </c>
      <c r="Q43" s="412">
        <f t="shared" ref="Q43:Q82" si="5">M43/16*L43</f>
        <v>0</v>
      </c>
      <c r="R43" s="412">
        <f t="shared" ref="R43:R82" si="6">N43/16*L43</f>
        <v>261791.16796875</v>
      </c>
      <c r="S43" s="412">
        <f t="shared" ref="S43:S82" si="7">O43/16*L43</f>
        <v>89756.971875</v>
      </c>
      <c r="T43" s="412">
        <f t="shared" ref="T43:T82" si="8">Q43+R43+S43</f>
        <v>351548.13984375</v>
      </c>
      <c r="U43" s="413">
        <f t="shared" ref="U43:U82" si="9">T43*0.1</f>
        <v>35154.813984375</v>
      </c>
      <c r="V43" s="373"/>
      <c r="W43" s="414">
        <f t="shared" ref="W43:W49" si="10">17697*0.4/16*V43</f>
        <v>0</v>
      </c>
      <c r="X43" s="415">
        <f t="shared" ref="X43:X82" si="11">SUM(P43)</f>
        <v>23.5</v>
      </c>
      <c r="Y43" s="372">
        <f t="shared" ref="Y43:Y82" si="12">L43*0.3/16*X43</f>
        <v>105464.441953125</v>
      </c>
      <c r="Z43" s="449">
        <f t="shared" ref="Z43:Z82" si="13">SUM(P43)</f>
        <v>23.5</v>
      </c>
      <c r="AA43" s="450">
        <v>40</v>
      </c>
      <c r="AB43" s="372">
        <f t="shared" ref="AB43:AB82" si="14">(L43*AA43/100)/16*Z43</f>
        <v>140619.2559375</v>
      </c>
      <c r="AC43" s="371"/>
      <c r="AD43" s="451"/>
      <c r="AE43" s="452">
        <v>7.13</v>
      </c>
      <c r="AF43" s="414">
        <f>SUM(17697/16*0.4*AD43)</f>
        <v>0</v>
      </c>
      <c r="AG43" s="414">
        <f>SUM(17697/16*0.5*AE43)</f>
        <v>3943.1128125</v>
      </c>
      <c r="AH43" s="414"/>
      <c r="AI43" s="415">
        <v>1.5</v>
      </c>
      <c r="AJ43" s="373">
        <f>SUM($I$35*AH43)*0.5</f>
        <v>0</v>
      </c>
      <c r="AK43" s="373">
        <f>SUM($I$35*AI43)*0.6</f>
        <v>15927.3</v>
      </c>
      <c r="AL43" s="373"/>
      <c r="AM43" s="373">
        <f>SUM($I$35*AL43)*0.2/100</f>
        <v>0</v>
      </c>
      <c r="AN43" s="373"/>
      <c r="AO43" s="373"/>
      <c r="AP43" s="374">
        <f>SUM($AM$35*AO43)</f>
        <v>0</v>
      </c>
      <c r="AQ43" s="374"/>
      <c r="AR43" s="374">
        <f>SUM($I$35*AQ43)</f>
        <v>0</v>
      </c>
      <c r="AS43" s="374"/>
      <c r="AT43" s="414">
        <f t="shared" ref="AT43:AT49" si="15">SUM($I$35*AS43)</f>
        <v>0</v>
      </c>
      <c r="AU43" s="373"/>
      <c r="AV43" s="509">
        <f t="shared" ref="AV43:AV82" si="16">T43+U43+W43+Y43+AB43+AC43+AF43+AG43+AJ43+AK43+AM43+AN43+AP43+AT43+AU43+AR43</f>
        <v>652657.06453125</v>
      </c>
      <c r="AW43" s="512"/>
      <c r="AX43" s="513"/>
    </row>
    <row r="44" s="254" customFormat="1" ht="45.75" customHeight="1" spans="1:50">
      <c r="A44" s="308">
        <v>2</v>
      </c>
      <c r="B44" s="309" t="s">
        <v>95</v>
      </c>
      <c r="C44" s="303" t="s">
        <v>96</v>
      </c>
      <c r="D44" s="304" t="s">
        <v>91</v>
      </c>
      <c r="E44" s="310" t="s">
        <v>92</v>
      </c>
      <c r="F44" s="311" t="s">
        <v>93</v>
      </c>
      <c r="G44" s="312">
        <v>5.41</v>
      </c>
      <c r="H44" s="313" t="s">
        <v>97</v>
      </c>
      <c r="I44" s="371">
        <f t="shared" si="2"/>
        <v>95740.77</v>
      </c>
      <c r="J44" s="372">
        <f t="shared" si="3"/>
        <v>23935.1925</v>
      </c>
      <c r="K44" s="372">
        <f t="shared" ref="K44:K82" si="17">(I44+J44)*1</f>
        <v>119675.9625</v>
      </c>
      <c r="L44" s="372">
        <f t="shared" ref="L44:L82" si="18">(I44+J44)*2</f>
        <v>239351.925</v>
      </c>
      <c r="M44" s="373"/>
      <c r="N44" s="374">
        <v>20</v>
      </c>
      <c r="O44" s="377">
        <v>4</v>
      </c>
      <c r="P44" s="376">
        <f t="shared" si="4"/>
        <v>24</v>
      </c>
      <c r="Q44" s="412">
        <f t="shared" si="5"/>
        <v>0</v>
      </c>
      <c r="R44" s="412">
        <f t="shared" si="6"/>
        <v>299189.90625</v>
      </c>
      <c r="S44" s="412">
        <f t="shared" si="7"/>
        <v>59837.98125</v>
      </c>
      <c r="T44" s="412">
        <f t="shared" si="8"/>
        <v>359027.8875</v>
      </c>
      <c r="U44" s="413">
        <f t="shared" si="9"/>
        <v>35902.78875</v>
      </c>
      <c r="V44" s="373">
        <v>3</v>
      </c>
      <c r="W44" s="414">
        <f t="shared" si="10"/>
        <v>1327.275</v>
      </c>
      <c r="X44" s="415">
        <f t="shared" si="11"/>
        <v>24</v>
      </c>
      <c r="Y44" s="372">
        <f t="shared" si="12"/>
        <v>107708.36625</v>
      </c>
      <c r="Z44" s="449">
        <f t="shared" si="13"/>
        <v>24</v>
      </c>
      <c r="AA44" s="412">
        <v>40</v>
      </c>
      <c r="AB44" s="372">
        <f t="shared" si="14"/>
        <v>143611.155</v>
      </c>
      <c r="AC44" s="372"/>
      <c r="AD44" s="451"/>
      <c r="AE44" s="373">
        <v>12.76</v>
      </c>
      <c r="AF44" s="414">
        <f>SUM(17697/16*0.4*AD44)</f>
        <v>0</v>
      </c>
      <c r="AG44" s="414">
        <f>SUM(17697/16*0.5*AE44)</f>
        <v>7056.67875</v>
      </c>
      <c r="AH44" s="414"/>
      <c r="AI44" s="494">
        <v>0.5</v>
      </c>
      <c r="AJ44" s="373">
        <f>SUM($I$35*AH44)*0.5</f>
        <v>0</v>
      </c>
      <c r="AK44" s="373">
        <f>SUM($I$35*AI44)*0.6</f>
        <v>5309.1</v>
      </c>
      <c r="AL44" s="373"/>
      <c r="AM44" s="373">
        <f>SUM($I$35*AL44)*0.2/100</f>
        <v>0</v>
      </c>
      <c r="AN44" s="373"/>
      <c r="AO44" s="373"/>
      <c r="AP44" s="374">
        <f>SUM($AM$35*AO44)</f>
        <v>0</v>
      </c>
      <c r="AQ44" s="374"/>
      <c r="AR44" s="374">
        <f>SUM($I$35*AQ44)</f>
        <v>0</v>
      </c>
      <c r="AS44" s="374"/>
      <c r="AT44" s="414">
        <f t="shared" si="15"/>
        <v>0</v>
      </c>
      <c r="AU44" s="373"/>
      <c r="AV44" s="509">
        <f t="shared" si="16"/>
        <v>659943.25125</v>
      </c>
      <c r="AW44" s="512"/>
      <c r="AX44" s="513"/>
    </row>
    <row r="45" s="254" customFormat="1" ht="62.25" customHeight="1" spans="1:50">
      <c r="A45" s="314"/>
      <c r="B45" s="315"/>
      <c r="C45" s="303" t="s">
        <v>98</v>
      </c>
      <c r="D45" s="304" t="s">
        <v>91</v>
      </c>
      <c r="E45" s="310" t="s">
        <v>92</v>
      </c>
      <c r="F45" s="316"/>
      <c r="G45" s="312">
        <v>5.41</v>
      </c>
      <c r="H45" s="317"/>
      <c r="I45" s="371">
        <f t="shared" si="2"/>
        <v>95740.77</v>
      </c>
      <c r="J45" s="372">
        <f t="shared" si="3"/>
        <v>23935.1925</v>
      </c>
      <c r="K45" s="372">
        <f t="shared" si="17"/>
        <v>119675.9625</v>
      </c>
      <c r="L45" s="372">
        <f t="shared" si="18"/>
        <v>239351.925</v>
      </c>
      <c r="M45" s="373"/>
      <c r="N45" s="374"/>
      <c r="O45" s="377">
        <v>2</v>
      </c>
      <c r="P45" s="376">
        <f t="shared" si="4"/>
        <v>2</v>
      </c>
      <c r="Q45" s="412">
        <f t="shared" si="5"/>
        <v>0</v>
      </c>
      <c r="R45" s="412">
        <f t="shared" si="6"/>
        <v>0</v>
      </c>
      <c r="S45" s="412">
        <f t="shared" si="7"/>
        <v>29918.990625</v>
      </c>
      <c r="T45" s="412">
        <f t="shared" si="8"/>
        <v>29918.990625</v>
      </c>
      <c r="U45" s="413">
        <f t="shared" si="9"/>
        <v>2991.8990625</v>
      </c>
      <c r="V45" s="373"/>
      <c r="W45" s="414">
        <f t="shared" si="10"/>
        <v>0</v>
      </c>
      <c r="X45" s="415">
        <f t="shared" si="11"/>
        <v>2</v>
      </c>
      <c r="Y45" s="372">
        <f t="shared" si="12"/>
        <v>8975.6971875</v>
      </c>
      <c r="Z45" s="449">
        <f t="shared" si="13"/>
        <v>2</v>
      </c>
      <c r="AA45" s="412">
        <v>40</v>
      </c>
      <c r="AB45" s="372">
        <f t="shared" si="14"/>
        <v>11967.59625</v>
      </c>
      <c r="AC45" s="372"/>
      <c r="AD45" s="451"/>
      <c r="AE45" s="373"/>
      <c r="AF45" s="414"/>
      <c r="AG45" s="414"/>
      <c r="AH45" s="414"/>
      <c r="AJ45" s="373"/>
      <c r="AK45" s="373"/>
      <c r="AL45" s="373"/>
      <c r="AM45" s="373"/>
      <c r="AN45" s="373"/>
      <c r="AO45" s="373"/>
      <c r="AP45" s="374"/>
      <c r="AQ45" s="374"/>
      <c r="AR45" s="374"/>
      <c r="AS45" s="374"/>
      <c r="AT45" s="414">
        <f t="shared" si="15"/>
        <v>0</v>
      </c>
      <c r="AU45" s="373"/>
      <c r="AV45" s="509">
        <f t="shared" si="16"/>
        <v>53854.183125</v>
      </c>
      <c r="AW45" s="512"/>
      <c r="AX45" s="513"/>
    </row>
    <row r="46" s="255" customFormat="1" ht="45.75" customHeight="1" spans="1:50">
      <c r="A46" s="301">
        <v>3</v>
      </c>
      <c r="B46" s="318" t="s">
        <v>99</v>
      </c>
      <c r="C46" s="319" t="s">
        <v>100</v>
      </c>
      <c r="D46" s="310" t="s">
        <v>91</v>
      </c>
      <c r="E46" s="310" t="s">
        <v>101</v>
      </c>
      <c r="F46" s="320" t="s">
        <v>93</v>
      </c>
      <c r="G46" s="312">
        <v>5.16</v>
      </c>
      <c r="H46" s="307" t="s">
        <v>102</v>
      </c>
      <c r="I46" s="371">
        <f t="shared" si="2"/>
        <v>91316.52</v>
      </c>
      <c r="J46" s="372">
        <f t="shared" si="3"/>
        <v>22829.13</v>
      </c>
      <c r="K46" s="372">
        <f t="shared" si="17"/>
        <v>114145.65</v>
      </c>
      <c r="L46" s="372">
        <f t="shared" si="18"/>
        <v>228291.3</v>
      </c>
      <c r="M46" s="378"/>
      <c r="N46" s="374">
        <v>8</v>
      </c>
      <c r="O46" s="379">
        <v>5</v>
      </c>
      <c r="P46" s="376">
        <f t="shared" si="4"/>
        <v>13</v>
      </c>
      <c r="Q46" s="412">
        <f t="shared" si="5"/>
        <v>0</v>
      </c>
      <c r="R46" s="412">
        <f t="shared" si="6"/>
        <v>114145.65</v>
      </c>
      <c r="S46" s="412">
        <f t="shared" si="7"/>
        <v>71341.03125</v>
      </c>
      <c r="T46" s="412">
        <f t="shared" si="8"/>
        <v>185486.68125</v>
      </c>
      <c r="U46" s="413">
        <f t="shared" si="9"/>
        <v>18548.668125</v>
      </c>
      <c r="V46" s="378">
        <v>2</v>
      </c>
      <c r="W46" s="414">
        <f t="shared" si="10"/>
        <v>884.85</v>
      </c>
      <c r="X46" s="415">
        <f t="shared" si="11"/>
        <v>13</v>
      </c>
      <c r="Y46" s="372">
        <f t="shared" si="12"/>
        <v>55646.004375</v>
      </c>
      <c r="Z46" s="449">
        <f t="shared" si="13"/>
        <v>13</v>
      </c>
      <c r="AA46" s="412">
        <v>40</v>
      </c>
      <c r="AB46" s="372">
        <f t="shared" si="14"/>
        <v>74194.6725</v>
      </c>
      <c r="AC46" s="372"/>
      <c r="AD46" s="451">
        <v>3.25</v>
      </c>
      <c r="AE46" s="378"/>
      <c r="AF46" s="414">
        <f>SUM(17697/16*0.4*AD46)</f>
        <v>1437.88125</v>
      </c>
      <c r="AG46" s="414">
        <f>SUM(17697/16*0.5*AE46)</f>
        <v>0</v>
      </c>
      <c r="AH46" s="414"/>
      <c r="AI46" s="414"/>
      <c r="AJ46" s="373">
        <f>SUM($I$35*AH46)*0.5</f>
        <v>0</v>
      </c>
      <c r="AK46" s="373">
        <f>SUM($I$35*AI46)*0.6</f>
        <v>0</v>
      </c>
      <c r="AL46" s="373"/>
      <c r="AM46" s="373">
        <f>SUM($I$35*AL46)*0.2/100</f>
        <v>0</v>
      </c>
      <c r="AN46" s="378"/>
      <c r="AO46" s="378"/>
      <c r="AP46" s="374">
        <f>SUM($AM$35*AO46)</f>
        <v>0</v>
      </c>
      <c r="AQ46" s="374"/>
      <c r="AR46" s="374">
        <f>SUM($I$35*AQ46)</f>
        <v>0</v>
      </c>
      <c r="AS46" s="374"/>
      <c r="AT46" s="414">
        <f t="shared" si="15"/>
        <v>0</v>
      </c>
      <c r="AU46" s="378"/>
      <c r="AV46" s="509">
        <f t="shared" si="16"/>
        <v>336198.7575</v>
      </c>
      <c r="AW46" s="514"/>
      <c r="AX46" s="515"/>
    </row>
    <row r="47" s="255" customFormat="1" ht="45.75" customHeight="1" spans="1:50">
      <c r="A47" s="301">
        <v>4</v>
      </c>
      <c r="B47" s="319" t="s">
        <v>103</v>
      </c>
      <c r="C47" s="319" t="s">
        <v>104</v>
      </c>
      <c r="D47" s="310" t="s">
        <v>91</v>
      </c>
      <c r="E47" s="310" t="s">
        <v>101</v>
      </c>
      <c r="F47" s="321" t="s">
        <v>93</v>
      </c>
      <c r="G47" s="312">
        <v>5.41</v>
      </c>
      <c r="H47" s="307" t="s">
        <v>105</v>
      </c>
      <c r="I47" s="371">
        <f t="shared" si="2"/>
        <v>95740.77</v>
      </c>
      <c r="J47" s="372">
        <f t="shared" si="3"/>
        <v>23935.1925</v>
      </c>
      <c r="K47" s="372">
        <f t="shared" si="17"/>
        <v>119675.9625</v>
      </c>
      <c r="L47" s="372">
        <f t="shared" si="18"/>
        <v>239351.925</v>
      </c>
      <c r="M47" s="374">
        <v>18</v>
      </c>
      <c r="N47" s="374"/>
      <c r="O47" s="380"/>
      <c r="P47" s="376">
        <f t="shared" si="4"/>
        <v>18</v>
      </c>
      <c r="Q47" s="412">
        <f t="shared" si="5"/>
        <v>269270.915625</v>
      </c>
      <c r="R47" s="412">
        <f t="shared" si="6"/>
        <v>0</v>
      </c>
      <c r="S47" s="412">
        <f t="shared" si="7"/>
        <v>0</v>
      </c>
      <c r="T47" s="412">
        <f t="shared" si="8"/>
        <v>269270.915625</v>
      </c>
      <c r="U47" s="413">
        <f t="shared" si="9"/>
        <v>26927.0915625</v>
      </c>
      <c r="V47" s="374"/>
      <c r="W47" s="414">
        <f t="shared" si="10"/>
        <v>0</v>
      </c>
      <c r="X47" s="415">
        <f t="shared" si="11"/>
        <v>18</v>
      </c>
      <c r="Y47" s="372">
        <f t="shared" si="12"/>
        <v>80781.2746875</v>
      </c>
      <c r="Z47" s="449">
        <f t="shared" si="13"/>
        <v>18</v>
      </c>
      <c r="AA47" s="412">
        <v>40</v>
      </c>
      <c r="AB47" s="372">
        <f t="shared" si="14"/>
        <v>107708.36625</v>
      </c>
      <c r="AC47" s="453"/>
      <c r="AD47" s="451">
        <v>18</v>
      </c>
      <c r="AE47" s="374"/>
      <c r="AF47" s="414">
        <f>SUM(17697/16*0.4*AD47)</f>
        <v>7963.65</v>
      </c>
      <c r="AG47" s="414">
        <f>SUM(17697/16*0.5*AE47)</f>
        <v>0</v>
      </c>
      <c r="AH47" s="414">
        <v>1</v>
      </c>
      <c r="AI47" s="414"/>
      <c r="AJ47" s="373">
        <f>SUM($I$35*AH47)*0.5</f>
        <v>8848.5</v>
      </c>
      <c r="AK47" s="373">
        <f>SUM($I$35*AI47)*0.6</f>
        <v>0</v>
      </c>
      <c r="AL47" s="373"/>
      <c r="AM47" s="373">
        <f>SUM($I$35*AL47)*0.2/100</f>
        <v>0</v>
      </c>
      <c r="AN47" s="374"/>
      <c r="AO47" s="374"/>
      <c r="AP47" s="374">
        <f>SUM($AM$35*AO47)</f>
        <v>0</v>
      </c>
      <c r="AQ47" s="374"/>
      <c r="AR47" s="374">
        <f>SUM($I$35*AQ47)</f>
        <v>0</v>
      </c>
      <c r="AS47" s="374">
        <v>1</v>
      </c>
      <c r="AT47" s="414">
        <f t="shared" si="15"/>
        <v>17697</v>
      </c>
      <c r="AU47" s="374"/>
      <c r="AV47" s="509">
        <f t="shared" si="16"/>
        <v>519196.798125</v>
      </c>
      <c r="AW47" s="514"/>
      <c r="AX47" s="515"/>
    </row>
    <row r="48" s="255" customFormat="1" ht="45.75" customHeight="1" spans="1:50">
      <c r="A48" s="322">
        <v>5</v>
      </c>
      <c r="B48" s="302" t="s">
        <v>106</v>
      </c>
      <c r="C48" s="319" t="s">
        <v>107</v>
      </c>
      <c r="D48" s="310" t="s">
        <v>91</v>
      </c>
      <c r="E48" s="310" t="s">
        <v>92</v>
      </c>
      <c r="F48" s="321" t="s">
        <v>93</v>
      </c>
      <c r="G48" s="312">
        <v>5.41</v>
      </c>
      <c r="H48" s="307" t="s">
        <v>108</v>
      </c>
      <c r="I48" s="371">
        <f t="shared" si="2"/>
        <v>95740.77</v>
      </c>
      <c r="J48" s="372">
        <f t="shared" si="3"/>
        <v>23935.1925</v>
      </c>
      <c r="K48" s="372">
        <f t="shared" si="17"/>
        <v>119675.9625</v>
      </c>
      <c r="L48" s="372">
        <f t="shared" si="18"/>
        <v>239351.925</v>
      </c>
      <c r="M48" s="378">
        <v>6</v>
      </c>
      <c r="N48" s="374">
        <v>12</v>
      </c>
      <c r="O48" s="379">
        <v>6</v>
      </c>
      <c r="P48" s="376">
        <f t="shared" si="4"/>
        <v>24</v>
      </c>
      <c r="Q48" s="412">
        <f t="shared" si="5"/>
        <v>89756.971875</v>
      </c>
      <c r="R48" s="412">
        <f t="shared" si="6"/>
        <v>179513.94375</v>
      </c>
      <c r="S48" s="412">
        <f t="shared" si="7"/>
        <v>89756.971875</v>
      </c>
      <c r="T48" s="412">
        <f t="shared" si="8"/>
        <v>359027.8875</v>
      </c>
      <c r="U48" s="413">
        <f t="shared" si="9"/>
        <v>35902.78875</v>
      </c>
      <c r="V48" s="378">
        <v>3</v>
      </c>
      <c r="W48" s="414">
        <f t="shared" si="10"/>
        <v>1327.275</v>
      </c>
      <c r="X48" s="415">
        <f t="shared" si="11"/>
        <v>24</v>
      </c>
      <c r="Y48" s="372">
        <f t="shared" si="12"/>
        <v>107708.36625</v>
      </c>
      <c r="Z48" s="449">
        <f t="shared" si="13"/>
        <v>24</v>
      </c>
      <c r="AA48" s="412">
        <v>40</v>
      </c>
      <c r="AB48" s="372">
        <f t="shared" si="14"/>
        <v>143611.155</v>
      </c>
      <c r="AC48" s="372"/>
      <c r="AD48" s="451">
        <v>12.76</v>
      </c>
      <c r="AE48" s="378"/>
      <c r="AF48" s="414">
        <f>SUM(17697/16*0.4*AD48)</f>
        <v>5645.343</v>
      </c>
      <c r="AG48" s="414">
        <f>SUM(17697/16*0.5*AE48)</f>
        <v>0</v>
      </c>
      <c r="AH48" s="414"/>
      <c r="AI48" s="495">
        <v>0.5</v>
      </c>
      <c r="AJ48" s="373"/>
      <c r="AK48" s="373">
        <f>SUM($I$35*AI48)*0.6</f>
        <v>5309.1</v>
      </c>
      <c r="AL48" s="373"/>
      <c r="AM48" s="373">
        <f>SUM($I$35*AL48)*0.2/100</f>
        <v>0</v>
      </c>
      <c r="AN48" s="378"/>
      <c r="AO48" s="378"/>
      <c r="AP48" s="374">
        <f>SUM($AM$35*AO48)</f>
        <v>0</v>
      </c>
      <c r="AQ48" s="374"/>
      <c r="AR48" s="374">
        <f>SUM($I$35*AQ48)</f>
        <v>0</v>
      </c>
      <c r="AS48" s="374"/>
      <c r="AT48" s="414">
        <f t="shared" si="15"/>
        <v>0</v>
      </c>
      <c r="AU48" s="378"/>
      <c r="AV48" s="509">
        <f t="shared" si="16"/>
        <v>658531.9155</v>
      </c>
      <c r="AW48" s="514"/>
      <c r="AX48" s="515"/>
    </row>
    <row r="49" s="256" customFormat="1" ht="45.75" customHeight="1" spans="1:50">
      <c r="A49" s="323">
        <v>6</v>
      </c>
      <c r="B49" s="309" t="s">
        <v>109</v>
      </c>
      <c r="C49" s="319" t="s">
        <v>110</v>
      </c>
      <c r="D49" s="310" t="s">
        <v>91</v>
      </c>
      <c r="E49" s="310" t="s">
        <v>111</v>
      </c>
      <c r="F49" s="324" t="s">
        <v>112</v>
      </c>
      <c r="G49" s="325">
        <v>4.65</v>
      </c>
      <c r="H49" s="326" t="s">
        <v>113</v>
      </c>
      <c r="I49" s="371">
        <f t="shared" si="2"/>
        <v>82291.05</v>
      </c>
      <c r="J49" s="372">
        <f t="shared" si="3"/>
        <v>20572.7625</v>
      </c>
      <c r="K49" s="372">
        <f t="shared" si="17"/>
        <v>102863.8125</v>
      </c>
      <c r="L49" s="372">
        <f t="shared" si="18"/>
        <v>205727.625</v>
      </c>
      <c r="M49" s="374"/>
      <c r="N49" s="374">
        <v>5</v>
      </c>
      <c r="O49" s="380">
        <v>7</v>
      </c>
      <c r="P49" s="376">
        <f t="shared" si="4"/>
        <v>12</v>
      </c>
      <c r="Q49" s="412">
        <f t="shared" si="5"/>
        <v>0</v>
      </c>
      <c r="R49" s="412">
        <f t="shared" si="6"/>
        <v>64289.8828125</v>
      </c>
      <c r="S49" s="412">
        <f t="shared" si="7"/>
        <v>90005.8359375</v>
      </c>
      <c r="T49" s="412">
        <f t="shared" si="8"/>
        <v>154295.71875</v>
      </c>
      <c r="U49" s="413">
        <f t="shared" si="9"/>
        <v>15429.571875</v>
      </c>
      <c r="V49" s="374">
        <v>2</v>
      </c>
      <c r="W49" s="414">
        <f t="shared" si="10"/>
        <v>884.85</v>
      </c>
      <c r="X49" s="415">
        <f t="shared" si="11"/>
        <v>12</v>
      </c>
      <c r="Y49" s="372">
        <f t="shared" si="12"/>
        <v>46288.715625</v>
      </c>
      <c r="Z49" s="449">
        <f t="shared" si="13"/>
        <v>12</v>
      </c>
      <c r="AA49" s="450">
        <v>35</v>
      </c>
      <c r="AB49" s="372">
        <f t="shared" si="14"/>
        <v>54003.5015625</v>
      </c>
      <c r="AC49" s="453"/>
      <c r="AD49" s="451">
        <v>4.75</v>
      </c>
      <c r="AE49" s="374"/>
      <c r="AF49" s="414">
        <f>SUM(17697/16*0.4*AD49)</f>
        <v>2101.51875</v>
      </c>
      <c r="AG49" s="414">
        <f>SUM(17697/16*0.5*AE49)</f>
        <v>0</v>
      </c>
      <c r="AH49" s="414"/>
      <c r="AI49" s="415"/>
      <c r="AJ49" s="373">
        <f>SUM($I$35*AH49)*0.5</f>
        <v>0</v>
      </c>
      <c r="AK49" s="373">
        <f>SUM($I$35*AI49)*0.6</f>
        <v>0</v>
      </c>
      <c r="AL49" s="373"/>
      <c r="AM49" s="373">
        <f>SUM($I$35*AL49)*0.2/100</f>
        <v>0</v>
      </c>
      <c r="AN49" s="496"/>
      <c r="AO49" s="374">
        <v>10</v>
      </c>
      <c r="AP49" s="374">
        <f>SUM($AM$35*AO49)</f>
        <v>34500</v>
      </c>
      <c r="AQ49" s="374"/>
      <c r="AR49" s="374">
        <f>SUM($I$35*AQ49)</f>
        <v>0</v>
      </c>
      <c r="AS49" s="374"/>
      <c r="AT49" s="414">
        <f t="shared" si="15"/>
        <v>0</v>
      </c>
      <c r="AU49" s="374"/>
      <c r="AV49" s="509">
        <f t="shared" si="16"/>
        <v>307503.8765625</v>
      </c>
      <c r="AW49" s="516"/>
      <c r="AX49" s="517"/>
    </row>
    <row r="50" s="256" customFormat="1" ht="45.75" customHeight="1" spans="1:50">
      <c r="A50" s="327"/>
      <c r="B50" s="315"/>
      <c r="C50" s="319" t="s">
        <v>114</v>
      </c>
      <c r="D50" s="310" t="s">
        <v>91</v>
      </c>
      <c r="E50" s="310" t="s">
        <v>115</v>
      </c>
      <c r="F50" s="321" t="s">
        <v>116</v>
      </c>
      <c r="G50" s="328">
        <v>4.19</v>
      </c>
      <c r="H50" s="329" t="s">
        <v>117</v>
      </c>
      <c r="I50" s="371">
        <f t="shared" si="2"/>
        <v>74150.43</v>
      </c>
      <c r="J50" s="372">
        <f t="shared" si="3"/>
        <v>18537.6075</v>
      </c>
      <c r="K50" s="372">
        <f t="shared" si="17"/>
        <v>92688.0375</v>
      </c>
      <c r="L50" s="372">
        <f t="shared" si="18"/>
        <v>185376.075</v>
      </c>
      <c r="M50" s="374"/>
      <c r="N50" s="374"/>
      <c r="O50" s="380">
        <v>6</v>
      </c>
      <c r="P50" s="376">
        <f t="shared" si="4"/>
        <v>6</v>
      </c>
      <c r="Q50" s="412">
        <f t="shared" si="5"/>
        <v>0</v>
      </c>
      <c r="R50" s="412">
        <f t="shared" si="6"/>
        <v>0</v>
      </c>
      <c r="S50" s="412">
        <f t="shared" si="7"/>
        <v>69516.028125</v>
      </c>
      <c r="T50" s="412">
        <f t="shared" si="8"/>
        <v>69516.028125</v>
      </c>
      <c r="U50" s="413">
        <f t="shared" si="9"/>
        <v>6951.6028125</v>
      </c>
      <c r="V50" s="374"/>
      <c r="W50" s="414"/>
      <c r="X50" s="415">
        <f t="shared" si="11"/>
        <v>6</v>
      </c>
      <c r="Y50" s="372">
        <f t="shared" si="12"/>
        <v>20854.8084375</v>
      </c>
      <c r="Z50" s="449">
        <f t="shared" si="13"/>
        <v>6</v>
      </c>
      <c r="AA50" s="450"/>
      <c r="AB50" s="372">
        <f t="shared" si="14"/>
        <v>0</v>
      </c>
      <c r="AC50" s="453"/>
      <c r="AD50" s="451"/>
      <c r="AE50" s="374"/>
      <c r="AF50" s="414"/>
      <c r="AG50" s="414"/>
      <c r="AH50" s="414"/>
      <c r="AI50" s="415"/>
      <c r="AJ50" s="373"/>
      <c r="AK50" s="373"/>
      <c r="AL50" s="373"/>
      <c r="AM50" s="373"/>
      <c r="AN50" s="496"/>
      <c r="AO50" s="374"/>
      <c r="AP50" s="374"/>
      <c r="AQ50" s="374"/>
      <c r="AR50" s="374"/>
      <c r="AS50" s="374"/>
      <c r="AT50" s="414"/>
      <c r="AU50" s="374"/>
      <c r="AV50" s="509">
        <f t="shared" si="16"/>
        <v>97322.439375</v>
      </c>
      <c r="AW50" s="516"/>
      <c r="AX50" s="517"/>
    </row>
    <row r="51" s="256" customFormat="1" ht="54" customHeight="1" spans="1:50">
      <c r="A51" s="301">
        <v>7</v>
      </c>
      <c r="B51" s="330" t="s">
        <v>118</v>
      </c>
      <c r="C51" s="303" t="s">
        <v>119</v>
      </c>
      <c r="D51" s="310" t="s">
        <v>91</v>
      </c>
      <c r="E51" s="304" t="s">
        <v>120</v>
      </c>
      <c r="F51" s="305" t="s">
        <v>112</v>
      </c>
      <c r="G51" s="306">
        <v>5.12</v>
      </c>
      <c r="H51" s="331" t="s">
        <v>121</v>
      </c>
      <c r="I51" s="371">
        <f t="shared" si="2"/>
        <v>90608.64</v>
      </c>
      <c r="J51" s="372">
        <f t="shared" si="3"/>
        <v>22652.16</v>
      </c>
      <c r="K51" s="372">
        <f t="shared" si="17"/>
        <v>113260.8</v>
      </c>
      <c r="L51" s="372">
        <f t="shared" si="18"/>
        <v>226521.6</v>
      </c>
      <c r="M51" s="374">
        <v>19</v>
      </c>
      <c r="N51" s="381"/>
      <c r="O51" s="380"/>
      <c r="P51" s="376">
        <f t="shared" si="4"/>
        <v>19</v>
      </c>
      <c r="Q51" s="412">
        <f t="shared" si="5"/>
        <v>268994.4</v>
      </c>
      <c r="R51" s="412">
        <f t="shared" si="6"/>
        <v>0</v>
      </c>
      <c r="S51" s="412">
        <f t="shared" si="7"/>
        <v>0</v>
      </c>
      <c r="T51" s="412">
        <f t="shared" si="8"/>
        <v>268994.4</v>
      </c>
      <c r="U51" s="413">
        <f t="shared" si="9"/>
        <v>26899.44</v>
      </c>
      <c r="V51" s="374"/>
      <c r="W51" s="414">
        <f t="shared" ref="W51:W82" si="19">17697*0.4/16*V51</f>
        <v>0</v>
      </c>
      <c r="X51" s="415">
        <f t="shared" si="11"/>
        <v>19</v>
      </c>
      <c r="Y51" s="372">
        <f t="shared" si="12"/>
        <v>80698.32</v>
      </c>
      <c r="Z51" s="449">
        <f t="shared" si="13"/>
        <v>19</v>
      </c>
      <c r="AA51" s="450">
        <v>35</v>
      </c>
      <c r="AB51" s="372">
        <f t="shared" si="14"/>
        <v>94148.04</v>
      </c>
      <c r="AC51" s="453"/>
      <c r="AD51" s="451">
        <v>9</v>
      </c>
      <c r="AE51" s="374"/>
      <c r="AF51" s="414">
        <f>SUM(17697/16*0.4*AD51)</f>
        <v>3981.825</v>
      </c>
      <c r="AG51" s="414">
        <f>SUM(17697/16*0.5*AE51)</f>
        <v>0</v>
      </c>
      <c r="AH51" s="415">
        <v>0.5</v>
      </c>
      <c r="AI51" s="415"/>
      <c r="AJ51" s="373">
        <f>SUM($I$35*AH51)*0.5</f>
        <v>4424.25</v>
      </c>
      <c r="AK51" s="373">
        <f>SUM($I$35*AI51)*0.6</f>
        <v>0</v>
      </c>
      <c r="AL51" s="373"/>
      <c r="AM51" s="373">
        <f>SUM($I$35*AL51)*0.2/100</f>
        <v>0</v>
      </c>
      <c r="AN51" s="374"/>
      <c r="AO51" s="374"/>
      <c r="AP51" s="374">
        <f>SUM($AM$35*AO51)</f>
        <v>0</v>
      </c>
      <c r="AQ51" s="374"/>
      <c r="AR51" s="374">
        <f>SUM($I$35*AQ51)</f>
        <v>0</v>
      </c>
      <c r="AS51" s="374"/>
      <c r="AT51" s="414">
        <f t="shared" ref="AT51:AT82" si="20">SUM($I$35*AS51)</f>
        <v>0</v>
      </c>
      <c r="AU51" s="374"/>
      <c r="AV51" s="509">
        <f t="shared" si="16"/>
        <v>479146.275</v>
      </c>
      <c r="AW51" s="516"/>
      <c r="AX51" s="517"/>
    </row>
    <row r="52" s="256" customFormat="1" ht="45.75" customHeight="1" spans="1:50">
      <c r="A52" s="301">
        <v>8</v>
      </c>
      <c r="B52" s="332" t="s">
        <v>122</v>
      </c>
      <c r="C52" s="303" t="s">
        <v>96</v>
      </c>
      <c r="D52" s="304" t="s">
        <v>91</v>
      </c>
      <c r="E52" s="304" t="s">
        <v>120</v>
      </c>
      <c r="F52" s="305" t="s">
        <v>112</v>
      </c>
      <c r="G52" s="333">
        <v>5.2</v>
      </c>
      <c r="H52" s="334">
        <v>41.2</v>
      </c>
      <c r="I52" s="371">
        <f t="shared" si="2"/>
        <v>92024.4</v>
      </c>
      <c r="J52" s="372">
        <f t="shared" si="3"/>
        <v>23006.1</v>
      </c>
      <c r="K52" s="372">
        <f t="shared" si="17"/>
        <v>115030.5</v>
      </c>
      <c r="L52" s="372">
        <f t="shared" si="18"/>
        <v>230061</v>
      </c>
      <c r="M52" s="374">
        <v>6</v>
      </c>
      <c r="N52" s="374">
        <v>12</v>
      </c>
      <c r="O52" s="380">
        <v>4</v>
      </c>
      <c r="P52" s="376">
        <f t="shared" si="4"/>
        <v>22</v>
      </c>
      <c r="Q52" s="412">
        <f t="shared" si="5"/>
        <v>86272.875</v>
      </c>
      <c r="R52" s="412">
        <f t="shared" si="6"/>
        <v>172545.75</v>
      </c>
      <c r="S52" s="412">
        <f t="shared" si="7"/>
        <v>57515.25</v>
      </c>
      <c r="T52" s="412">
        <f t="shared" si="8"/>
        <v>316333.875</v>
      </c>
      <c r="U52" s="413">
        <f t="shared" si="9"/>
        <v>31633.3875</v>
      </c>
      <c r="V52" s="374">
        <v>2</v>
      </c>
      <c r="W52" s="414">
        <f t="shared" si="19"/>
        <v>884.85</v>
      </c>
      <c r="X52" s="415">
        <f t="shared" si="11"/>
        <v>22</v>
      </c>
      <c r="Y52" s="372">
        <f t="shared" si="12"/>
        <v>94900.1625</v>
      </c>
      <c r="Z52" s="449">
        <f t="shared" si="13"/>
        <v>22</v>
      </c>
      <c r="AA52" s="450">
        <v>35</v>
      </c>
      <c r="AB52" s="372">
        <f t="shared" si="14"/>
        <v>110716.85625</v>
      </c>
      <c r="AC52" s="453"/>
      <c r="AD52" s="451"/>
      <c r="AE52" s="374">
        <v>8.26</v>
      </c>
      <c r="AF52" s="414">
        <f t="shared" ref="AF52:AF60" si="21">SUM(17697/16*0.4*AD52)</f>
        <v>0</v>
      </c>
      <c r="AG52" s="414">
        <f t="shared" ref="AG52:AG60" si="22">SUM(17697/16*0.5*AE52)</f>
        <v>4568.038125</v>
      </c>
      <c r="AH52" s="414"/>
      <c r="AI52" s="415"/>
      <c r="AJ52" s="373">
        <f t="shared" ref="AJ52:AJ60" si="23">SUM($I$35*AH52)*0.5</f>
        <v>0</v>
      </c>
      <c r="AK52" s="373">
        <f t="shared" ref="AK52:AK60" si="24">SUM($I$35*AI52)*0.6</f>
        <v>0</v>
      </c>
      <c r="AL52" s="373"/>
      <c r="AM52" s="373">
        <f t="shared" ref="AM52:AM60" si="25">SUM($I$35*AL52)*0.2/100</f>
        <v>0</v>
      </c>
      <c r="AN52" s="374"/>
      <c r="AO52" s="374"/>
      <c r="AP52" s="374">
        <f t="shared" ref="AP52:AP60" si="26">SUM($AM$35*AO52)</f>
        <v>0</v>
      </c>
      <c r="AQ52" s="374"/>
      <c r="AR52" s="374">
        <f t="shared" ref="AR52:AR60" si="27">SUM($I$35*AQ52)</f>
        <v>0</v>
      </c>
      <c r="AS52" s="374"/>
      <c r="AT52" s="414">
        <f t="shared" si="20"/>
        <v>0</v>
      </c>
      <c r="AU52" s="374"/>
      <c r="AV52" s="509">
        <f t="shared" si="16"/>
        <v>559037.169375</v>
      </c>
      <c r="AW52" s="516"/>
      <c r="AX52" s="517"/>
    </row>
    <row r="53" s="256" customFormat="1" ht="45.75" customHeight="1" spans="1:50">
      <c r="A53" s="301">
        <v>9</v>
      </c>
      <c r="B53" s="332" t="s">
        <v>123</v>
      </c>
      <c r="C53" s="303" t="s">
        <v>104</v>
      </c>
      <c r="D53" s="310" t="s">
        <v>91</v>
      </c>
      <c r="E53" s="304" t="s">
        <v>120</v>
      </c>
      <c r="F53" s="305" t="s">
        <v>112</v>
      </c>
      <c r="G53" s="312">
        <v>4.86</v>
      </c>
      <c r="H53" s="335">
        <v>12.2</v>
      </c>
      <c r="I53" s="371">
        <f t="shared" si="2"/>
        <v>86007.42</v>
      </c>
      <c r="J53" s="372">
        <f t="shared" si="3"/>
        <v>21501.855</v>
      </c>
      <c r="K53" s="372">
        <f t="shared" si="17"/>
        <v>107509.275</v>
      </c>
      <c r="L53" s="372">
        <f t="shared" si="18"/>
        <v>215018.55</v>
      </c>
      <c r="M53" s="374">
        <v>16</v>
      </c>
      <c r="N53" s="374"/>
      <c r="O53" s="380"/>
      <c r="P53" s="376">
        <f t="shared" si="4"/>
        <v>16</v>
      </c>
      <c r="Q53" s="412">
        <f t="shared" si="5"/>
        <v>215018.55</v>
      </c>
      <c r="R53" s="412">
        <f t="shared" si="6"/>
        <v>0</v>
      </c>
      <c r="S53" s="412">
        <f t="shared" si="7"/>
        <v>0</v>
      </c>
      <c r="T53" s="412">
        <f t="shared" si="8"/>
        <v>215018.55</v>
      </c>
      <c r="U53" s="413">
        <f t="shared" si="9"/>
        <v>21501.855</v>
      </c>
      <c r="V53" s="374"/>
      <c r="W53" s="414">
        <f t="shared" si="19"/>
        <v>0</v>
      </c>
      <c r="X53" s="415">
        <f t="shared" si="11"/>
        <v>16</v>
      </c>
      <c r="Y53" s="372">
        <f t="shared" si="12"/>
        <v>64505.565</v>
      </c>
      <c r="Z53" s="449">
        <f t="shared" si="13"/>
        <v>16</v>
      </c>
      <c r="AA53" s="450">
        <v>35</v>
      </c>
      <c r="AB53" s="372">
        <f t="shared" si="14"/>
        <v>75256.4925</v>
      </c>
      <c r="AC53" s="453"/>
      <c r="AD53" s="451">
        <v>16</v>
      </c>
      <c r="AE53" s="374"/>
      <c r="AF53" s="414">
        <f t="shared" si="21"/>
        <v>7078.8</v>
      </c>
      <c r="AG53" s="414">
        <f t="shared" si="22"/>
        <v>0</v>
      </c>
      <c r="AH53" s="414">
        <v>1</v>
      </c>
      <c r="AI53" s="415"/>
      <c r="AJ53" s="373">
        <f t="shared" si="23"/>
        <v>8848.5</v>
      </c>
      <c r="AK53" s="373">
        <f t="shared" si="24"/>
        <v>0</v>
      </c>
      <c r="AL53" s="373"/>
      <c r="AM53" s="373">
        <f t="shared" si="25"/>
        <v>0</v>
      </c>
      <c r="AN53" s="374"/>
      <c r="AO53" s="374"/>
      <c r="AP53" s="374">
        <f t="shared" si="26"/>
        <v>0</v>
      </c>
      <c r="AQ53" s="374"/>
      <c r="AR53" s="374">
        <f t="shared" si="27"/>
        <v>0</v>
      </c>
      <c r="AS53" s="374"/>
      <c r="AT53" s="414">
        <f t="shared" si="20"/>
        <v>0</v>
      </c>
      <c r="AU53" s="374"/>
      <c r="AV53" s="509">
        <f t="shared" si="16"/>
        <v>392209.7625</v>
      </c>
      <c r="AW53" s="516"/>
      <c r="AX53" s="517"/>
    </row>
    <row r="54" s="256" customFormat="1" ht="45.75" customHeight="1" spans="1:50">
      <c r="A54" s="301">
        <v>10</v>
      </c>
      <c r="B54" s="302" t="s">
        <v>124</v>
      </c>
      <c r="C54" s="303" t="s">
        <v>125</v>
      </c>
      <c r="D54" s="304" t="s">
        <v>91</v>
      </c>
      <c r="E54" s="310" t="s">
        <v>111</v>
      </c>
      <c r="F54" s="305" t="s">
        <v>112</v>
      </c>
      <c r="G54" s="333">
        <v>5.2</v>
      </c>
      <c r="H54" s="334">
        <v>27.9</v>
      </c>
      <c r="I54" s="371">
        <f t="shared" si="2"/>
        <v>92024.4</v>
      </c>
      <c r="J54" s="372">
        <f t="shared" si="3"/>
        <v>23006.1</v>
      </c>
      <c r="K54" s="372">
        <f t="shared" si="17"/>
        <v>115030.5</v>
      </c>
      <c r="L54" s="372">
        <f t="shared" si="18"/>
        <v>230061</v>
      </c>
      <c r="M54" s="374"/>
      <c r="N54" s="374">
        <v>3</v>
      </c>
      <c r="O54" s="380">
        <v>8</v>
      </c>
      <c r="P54" s="376">
        <f t="shared" si="4"/>
        <v>11</v>
      </c>
      <c r="Q54" s="412">
        <f t="shared" si="5"/>
        <v>0</v>
      </c>
      <c r="R54" s="412">
        <f t="shared" si="6"/>
        <v>43136.4375</v>
      </c>
      <c r="S54" s="412">
        <f t="shared" si="7"/>
        <v>115030.5</v>
      </c>
      <c r="T54" s="412">
        <f t="shared" si="8"/>
        <v>158166.9375</v>
      </c>
      <c r="U54" s="413">
        <f t="shared" si="9"/>
        <v>15816.69375</v>
      </c>
      <c r="V54" s="374"/>
      <c r="W54" s="414">
        <f t="shared" si="19"/>
        <v>0</v>
      </c>
      <c r="X54" s="415">
        <f t="shared" si="11"/>
        <v>11</v>
      </c>
      <c r="Y54" s="372">
        <f t="shared" si="12"/>
        <v>47450.08125</v>
      </c>
      <c r="Z54" s="449">
        <f t="shared" si="13"/>
        <v>11</v>
      </c>
      <c r="AA54" s="450">
        <v>35</v>
      </c>
      <c r="AB54" s="372">
        <f t="shared" si="14"/>
        <v>55358.428125</v>
      </c>
      <c r="AC54" s="453"/>
      <c r="AD54" s="451"/>
      <c r="AE54" s="374"/>
      <c r="AF54" s="414">
        <f t="shared" si="21"/>
        <v>0</v>
      </c>
      <c r="AG54" s="414">
        <f t="shared" si="22"/>
        <v>0</v>
      </c>
      <c r="AH54" s="414"/>
      <c r="AI54" s="415"/>
      <c r="AJ54" s="373">
        <f t="shared" si="23"/>
        <v>0</v>
      </c>
      <c r="AK54" s="373">
        <f t="shared" si="24"/>
        <v>0</v>
      </c>
      <c r="AL54" s="373"/>
      <c r="AM54" s="373">
        <f t="shared" si="25"/>
        <v>0</v>
      </c>
      <c r="AN54" s="374"/>
      <c r="AO54" s="374"/>
      <c r="AP54" s="374">
        <f t="shared" si="26"/>
        <v>0</v>
      </c>
      <c r="AQ54" s="374"/>
      <c r="AR54" s="374">
        <f t="shared" si="27"/>
        <v>0</v>
      </c>
      <c r="AS54" s="374"/>
      <c r="AT54" s="414">
        <f t="shared" si="20"/>
        <v>0</v>
      </c>
      <c r="AU54" s="374"/>
      <c r="AV54" s="509">
        <f t="shared" si="16"/>
        <v>276792.140625</v>
      </c>
      <c r="AW54" s="516"/>
      <c r="AX54" s="517"/>
    </row>
    <row r="55" s="256" customFormat="1" ht="45.75" customHeight="1" spans="1:50">
      <c r="A55" s="301">
        <v>11</v>
      </c>
      <c r="B55" s="319" t="s">
        <v>126</v>
      </c>
      <c r="C55" s="303" t="s">
        <v>104</v>
      </c>
      <c r="D55" s="304" t="s">
        <v>91</v>
      </c>
      <c r="E55" s="310" t="s">
        <v>111</v>
      </c>
      <c r="F55" s="305" t="s">
        <v>112</v>
      </c>
      <c r="G55" s="312">
        <v>4.95</v>
      </c>
      <c r="H55" s="334">
        <v>13.8</v>
      </c>
      <c r="I55" s="371">
        <f t="shared" si="2"/>
        <v>87600.15</v>
      </c>
      <c r="J55" s="372">
        <f t="shared" si="3"/>
        <v>21900.0375</v>
      </c>
      <c r="K55" s="372">
        <f t="shared" si="17"/>
        <v>109500.1875</v>
      </c>
      <c r="L55" s="372">
        <f t="shared" si="18"/>
        <v>219000.375</v>
      </c>
      <c r="M55" s="374">
        <v>17</v>
      </c>
      <c r="N55" s="374"/>
      <c r="O55" s="380"/>
      <c r="P55" s="376">
        <f t="shared" si="4"/>
        <v>17</v>
      </c>
      <c r="Q55" s="412">
        <f t="shared" si="5"/>
        <v>232687.8984375</v>
      </c>
      <c r="R55" s="412">
        <f t="shared" si="6"/>
        <v>0</v>
      </c>
      <c r="S55" s="412">
        <f t="shared" si="7"/>
        <v>0</v>
      </c>
      <c r="T55" s="412">
        <f t="shared" si="8"/>
        <v>232687.8984375</v>
      </c>
      <c r="U55" s="413">
        <f t="shared" si="9"/>
        <v>23268.78984375</v>
      </c>
      <c r="V55" s="374"/>
      <c r="W55" s="414">
        <f t="shared" si="19"/>
        <v>0</v>
      </c>
      <c r="X55" s="415">
        <f t="shared" si="11"/>
        <v>17</v>
      </c>
      <c r="Y55" s="372">
        <f t="shared" si="12"/>
        <v>69806.36953125</v>
      </c>
      <c r="Z55" s="449">
        <f t="shared" si="13"/>
        <v>17</v>
      </c>
      <c r="AA55" s="450">
        <v>35</v>
      </c>
      <c r="AB55" s="372">
        <f t="shared" si="14"/>
        <v>81440.764453125</v>
      </c>
      <c r="AC55" s="453"/>
      <c r="AD55" s="451">
        <v>4.25</v>
      </c>
      <c r="AE55" s="374"/>
      <c r="AF55" s="414">
        <f t="shared" si="21"/>
        <v>1880.30625</v>
      </c>
      <c r="AG55" s="414">
        <f t="shared" si="22"/>
        <v>0</v>
      </c>
      <c r="AH55" s="415">
        <v>0.5</v>
      </c>
      <c r="AI55" s="415"/>
      <c r="AJ55" s="373">
        <f t="shared" si="23"/>
        <v>4424.25</v>
      </c>
      <c r="AK55" s="373">
        <f t="shared" si="24"/>
        <v>0</v>
      </c>
      <c r="AL55" s="373"/>
      <c r="AM55" s="373">
        <f t="shared" si="25"/>
        <v>0</v>
      </c>
      <c r="AN55" s="374"/>
      <c r="AO55" s="374"/>
      <c r="AP55" s="374">
        <f t="shared" si="26"/>
        <v>0</v>
      </c>
      <c r="AQ55" s="374"/>
      <c r="AR55" s="374">
        <f t="shared" si="27"/>
        <v>0</v>
      </c>
      <c r="AS55" s="374"/>
      <c r="AT55" s="414">
        <f t="shared" si="20"/>
        <v>0</v>
      </c>
      <c r="AU55" s="374"/>
      <c r="AV55" s="509">
        <f t="shared" si="16"/>
        <v>413508.378515625</v>
      </c>
      <c r="AW55" s="516"/>
      <c r="AX55" s="517"/>
    </row>
    <row r="56" s="256" customFormat="1" ht="45.75" customHeight="1" spans="1:50">
      <c r="A56" s="308">
        <v>12</v>
      </c>
      <c r="B56" s="309" t="s">
        <v>127</v>
      </c>
      <c r="C56" s="319" t="s">
        <v>86</v>
      </c>
      <c r="D56" s="310" t="s">
        <v>91</v>
      </c>
      <c r="E56" s="336" t="s">
        <v>120</v>
      </c>
      <c r="F56" s="337" t="s">
        <v>112</v>
      </c>
      <c r="G56" s="312">
        <v>4.95</v>
      </c>
      <c r="H56" s="338">
        <v>13.3</v>
      </c>
      <c r="I56" s="371">
        <f t="shared" si="2"/>
        <v>87600.15</v>
      </c>
      <c r="J56" s="372">
        <f t="shared" si="3"/>
        <v>21900.0375</v>
      </c>
      <c r="K56" s="372">
        <f t="shared" si="17"/>
        <v>109500.1875</v>
      </c>
      <c r="L56" s="372">
        <f t="shared" si="18"/>
        <v>219000.375</v>
      </c>
      <c r="M56" s="374">
        <v>9</v>
      </c>
      <c r="N56" s="374">
        <v>12</v>
      </c>
      <c r="O56" s="380">
        <v>3</v>
      </c>
      <c r="P56" s="376">
        <f t="shared" si="4"/>
        <v>24</v>
      </c>
      <c r="Q56" s="412">
        <f t="shared" si="5"/>
        <v>123187.7109375</v>
      </c>
      <c r="R56" s="412">
        <f t="shared" si="6"/>
        <v>164250.28125</v>
      </c>
      <c r="S56" s="412">
        <f t="shared" si="7"/>
        <v>41062.5703125</v>
      </c>
      <c r="T56" s="412">
        <f t="shared" si="8"/>
        <v>328500.5625</v>
      </c>
      <c r="U56" s="413">
        <f t="shared" si="9"/>
        <v>32850.05625</v>
      </c>
      <c r="V56" s="373">
        <v>6</v>
      </c>
      <c r="W56" s="414">
        <f t="shared" si="19"/>
        <v>2654.55</v>
      </c>
      <c r="X56" s="415">
        <f t="shared" si="11"/>
        <v>24</v>
      </c>
      <c r="Y56" s="372">
        <f t="shared" si="12"/>
        <v>98550.16875</v>
      </c>
      <c r="Z56" s="449">
        <f t="shared" si="13"/>
        <v>24</v>
      </c>
      <c r="AA56" s="450">
        <v>35</v>
      </c>
      <c r="AB56" s="372">
        <f t="shared" si="14"/>
        <v>114975.196875</v>
      </c>
      <c r="AC56" s="453"/>
      <c r="AD56" s="451"/>
      <c r="AE56" s="374"/>
      <c r="AF56" s="414">
        <f t="shared" si="21"/>
        <v>0</v>
      </c>
      <c r="AG56" s="414">
        <f t="shared" si="22"/>
        <v>0</v>
      </c>
      <c r="AH56" s="415">
        <v>0.5</v>
      </c>
      <c r="AI56" s="415"/>
      <c r="AJ56" s="373">
        <f t="shared" si="23"/>
        <v>4424.25</v>
      </c>
      <c r="AK56" s="373">
        <f t="shared" si="24"/>
        <v>0</v>
      </c>
      <c r="AL56" s="373"/>
      <c r="AM56" s="373">
        <f t="shared" si="25"/>
        <v>0</v>
      </c>
      <c r="AN56" s="374"/>
      <c r="AO56" s="374"/>
      <c r="AP56" s="374">
        <f t="shared" si="26"/>
        <v>0</v>
      </c>
      <c r="AQ56" s="374">
        <v>1</v>
      </c>
      <c r="AR56" s="374">
        <f t="shared" si="27"/>
        <v>17697</v>
      </c>
      <c r="AS56" s="374"/>
      <c r="AT56" s="414">
        <f t="shared" si="20"/>
        <v>0</v>
      </c>
      <c r="AU56" s="374"/>
      <c r="AV56" s="509">
        <f t="shared" si="16"/>
        <v>599651.784375</v>
      </c>
      <c r="AW56" s="516"/>
      <c r="AX56" s="517"/>
    </row>
    <row r="57" s="256" customFormat="1" ht="45.75" customHeight="1" spans="1:50">
      <c r="A57" s="314"/>
      <c r="B57" s="315"/>
      <c r="C57" s="319" t="s">
        <v>128</v>
      </c>
      <c r="D57" s="310" t="s">
        <v>91</v>
      </c>
      <c r="E57" s="339"/>
      <c r="F57" s="340"/>
      <c r="G57" s="312">
        <v>4.95</v>
      </c>
      <c r="H57" s="341"/>
      <c r="I57" s="371">
        <f t="shared" si="2"/>
        <v>87600.15</v>
      </c>
      <c r="J57" s="372">
        <f t="shared" si="3"/>
        <v>21900.0375</v>
      </c>
      <c r="K57" s="372">
        <f t="shared" si="17"/>
        <v>109500.1875</v>
      </c>
      <c r="L57" s="372">
        <f t="shared" si="18"/>
        <v>219000.375</v>
      </c>
      <c r="M57" s="374"/>
      <c r="N57" s="374"/>
      <c r="O57" s="380">
        <v>3</v>
      </c>
      <c r="P57" s="376">
        <f t="shared" si="4"/>
        <v>3</v>
      </c>
      <c r="Q57" s="412">
        <f t="shared" si="5"/>
        <v>0</v>
      </c>
      <c r="R57" s="412">
        <f t="shared" si="6"/>
        <v>0</v>
      </c>
      <c r="S57" s="412">
        <f t="shared" si="7"/>
        <v>41062.5703125</v>
      </c>
      <c r="T57" s="412">
        <f t="shared" si="8"/>
        <v>41062.5703125</v>
      </c>
      <c r="U57" s="413">
        <f t="shared" si="9"/>
        <v>4106.25703125</v>
      </c>
      <c r="V57" s="373"/>
      <c r="W57" s="414">
        <f t="shared" si="19"/>
        <v>0</v>
      </c>
      <c r="X57" s="415">
        <f t="shared" si="11"/>
        <v>3</v>
      </c>
      <c r="Y57" s="372">
        <f t="shared" si="12"/>
        <v>12318.77109375</v>
      </c>
      <c r="Z57" s="449">
        <f t="shared" si="13"/>
        <v>3</v>
      </c>
      <c r="AA57" s="450">
        <v>35</v>
      </c>
      <c r="AB57" s="372">
        <f t="shared" si="14"/>
        <v>14371.899609375</v>
      </c>
      <c r="AC57" s="453"/>
      <c r="AD57" s="451"/>
      <c r="AE57" s="374"/>
      <c r="AF57" s="414"/>
      <c r="AG57" s="414"/>
      <c r="AH57" s="415"/>
      <c r="AI57" s="415"/>
      <c r="AJ57" s="373"/>
      <c r="AK57" s="373"/>
      <c r="AL57" s="373"/>
      <c r="AM57" s="373"/>
      <c r="AN57" s="374"/>
      <c r="AO57" s="374"/>
      <c r="AP57" s="374"/>
      <c r="AQ57" s="374"/>
      <c r="AR57" s="374"/>
      <c r="AS57" s="374"/>
      <c r="AT57" s="414">
        <f t="shared" si="20"/>
        <v>0</v>
      </c>
      <c r="AU57" s="374"/>
      <c r="AV57" s="509">
        <f t="shared" si="16"/>
        <v>71859.498046875</v>
      </c>
      <c r="AW57" s="516"/>
      <c r="AX57" s="517"/>
    </row>
    <row r="58" s="256" customFormat="1" ht="63.75" customHeight="1" spans="1:50">
      <c r="A58" s="301">
        <v>13</v>
      </c>
      <c r="B58" s="309" t="s">
        <v>129</v>
      </c>
      <c r="C58" s="319" t="s">
        <v>90</v>
      </c>
      <c r="D58" s="310" t="s">
        <v>91</v>
      </c>
      <c r="E58" s="310" t="s">
        <v>120</v>
      </c>
      <c r="F58" s="305" t="s">
        <v>112</v>
      </c>
      <c r="G58" s="312">
        <v>5.03</v>
      </c>
      <c r="H58" s="334">
        <v>16.4</v>
      </c>
      <c r="I58" s="371">
        <f t="shared" si="2"/>
        <v>89015.91</v>
      </c>
      <c r="J58" s="372">
        <f t="shared" si="3"/>
        <v>22253.9775</v>
      </c>
      <c r="K58" s="372">
        <f t="shared" si="17"/>
        <v>111269.8875</v>
      </c>
      <c r="L58" s="372">
        <f t="shared" si="18"/>
        <v>222539.775</v>
      </c>
      <c r="M58" s="374">
        <v>15</v>
      </c>
      <c r="N58" s="374">
        <v>6.5</v>
      </c>
      <c r="O58" s="380"/>
      <c r="P58" s="376">
        <f t="shared" si="4"/>
        <v>21.5</v>
      </c>
      <c r="Q58" s="412">
        <f t="shared" si="5"/>
        <v>208631.0390625</v>
      </c>
      <c r="R58" s="412">
        <f t="shared" si="6"/>
        <v>90406.78359375</v>
      </c>
      <c r="S58" s="412">
        <f t="shared" si="7"/>
        <v>0</v>
      </c>
      <c r="T58" s="412">
        <f t="shared" si="8"/>
        <v>299037.82265625</v>
      </c>
      <c r="U58" s="413">
        <f t="shared" si="9"/>
        <v>29903.782265625</v>
      </c>
      <c r="V58" s="374"/>
      <c r="W58" s="414">
        <f t="shared" si="19"/>
        <v>0</v>
      </c>
      <c r="X58" s="415">
        <f t="shared" si="11"/>
        <v>21.5</v>
      </c>
      <c r="Y58" s="372">
        <f t="shared" si="12"/>
        <v>89711.346796875</v>
      </c>
      <c r="Z58" s="449">
        <f t="shared" si="13"/>
        <v>21.5</v>
      </c>
      <c r="AA58" s="450">
        <v>35</v>
      </c>
      <c r="AB58" s="372">
        <f t="shared" si="14"/>
        <v>104663.237929688</v>
      </c>
      <c r="AC58" s="453"/>
      <c r="AD58" s="451"/>
      <c r="AE58" s="374">
        <v>16.63</v>
      </c>
      <c r="AF58" s="414">
        <f t="shared" si="21"/>
        <v>0</v>
      </c>
      <c r="AG58" s="414">
        <f t="shared" si="22"/>
        <v>9196.9096875</v>
      </c>
      <c r="AH58" s="415"/>
      <c r="AI58" s="415">
        <v>0.5</v>
      </c>
      <c r="AJ58" s="373">
        <f t="shared" si="23"/>
        <v>0</v>
      </c>
      <c r="AK58" s="373">
        <f t="shared" si="24"/>
        <v>5309.1</v>
      </c>
      <c r="AL58" s="373"/>
      <c r="AM58" s="373">
        <f t="shared" si="25"/>
        <v>0</v>
      </c>
      <c r="AN58" s="374"/>
      <c r="AO58" s="374"/>
      <c r="AP58" s="374">
        <f t="shared" si="26"/>
        <v>0</v>
      </c>
      <c r="AQ58" s="374"/>
      <c r="AR58" s="374">
        <f t="shared" si="27"/>
        <v>0</v>
      </c>
      <c r="AS58" s="374"/>
      <c r="AT58" s="414">
        <f t="shared" si="20"/>
        <v>0</v>
      </c>
      <c r="AU58" s="374"/>
      <c r="AV58" s="509">
        <f t="shared" si="16"/>
        <v>537822.199335938</v>
      </c>
      <c r="AW58" s="516"/>
      <c r="AX58" s="517"/>
    </row>
    <row r="59" s="256" customFormat="1" ht="45.75" customHeight="1" spans="1:50">
      <c r="A59" s="301">
        <v>14</v>
      </c>
      <c r="B59" s="309" t="s">
        <v>130</v>
      </c>
      <c r="C59" s="303" t="s">
        <v>125</v>
      </c>
      <c r="D59" s="342" t="s">
        <v>91</v>
      </c>
      <c r="E59" s="342" t="s">
        <v>111</v>
      </c>
      <c r="F59" s="337" t="s">
        <v>112</v>
      </c>
      <c r="G59" s="333">
        <v>4.79</v>
      </c>
      <c r="H59" s="324">
        <v>7.4</v>
      </c>
      <c r="I59" s="371">
        <f t="shared" si="2"/>
        <v>84768.63</v>
      </c>
      <c r="J59" s="372">
        <f t="shared" si="3"/>
        <v>21192.1575</v>
      </c>
      <c r="K59" s="372">
        <f t="shared" si="17"/>
        <v>105960.7875</v>
      </c>
      <c r="L59" s="372">
        <f t="shared" si="18"/>
        <v>211921.575</v>
      </c>
      <c r="M59" s="374"/>
      <c r="N59" s="374">
        <v>12.5</v>
      </c>
      <c r="O59" s="380"/>
      <c r="P59" s="376">
        <f t="shared" si="4"/>
        <v>12.5</v>
      </c>
      <c r="Q59" s="412">
        <f t="shared" si="5"/>
        <v>0</v>
      </c>
      <c r="R59" s="412">
        <f t="shared" si="6"/>
        <v>165563.73046875</v>
      </c>
      <c r="S59" s="412">
        <f t="shared" si="7"/>
        <v>0</v>
      </c>
      <c r="T59" s="412">
        <f t="shared" si="8"/>
        <v>165563.73046875</v>
      </c>
      <c r="U59" s="413">
        <f t="shared" si="9"/>
        <v>16556.373046875</v>
      </c>
      <c r="V59" s="374"/>
      <c r="W59" s="414">
        <f t="shared" si="19"/>
        <v>0</v>
      </c>
      <c r="X59" s="415">
        <f t="shared" si="11"/>
        <v>12.5</v>
      </c>
      <c r="Y59" s="372">
        <f t="shared" si="12"/>
        <v>49669.119140625</v>
      </c>
      <c r="Z59" s="449">
        <f t="shared" si="13"/>
        <v>12.5</v>
      </c>
      <c r="AA59" s="450">
        <v>35</v>
      </c>
      <c r="AB59" s="372">
        <f t="shared" si="14"/>
        <v>57947.3056640625</v>
      </c>
      <c r="AC59" s="453"/>
      <c r="AD59" s="451"/>
      <c r="AE59" s="374"/>
      <c r="AF59" s="414">
        <f t="shared" si="21"/>
        <v>0</v>
      </c>
      <c r="AG59" s="414">
        <f t="shared" si="22"/>
        <v>0</v>
      </c>
      <c r="AH59" s="414"/>
      <c r="AI59" s="415"/>
      <c r="AJ59" s="373">
        <f t="shared" si="23"/>
        <v>0</v>
      </c>
      <c r="AK59" s="373">
        <f t="shared" si="24"/>
        <v>0</v>
      </c>
      <c r="AL59" s="373"/>
      <c r="AM59" s="373">
        <f t="shared" si="25"/>
        <v>0</v>
      </c>
      <c r="AN59" s="374"/>
      <c r="AO59" s="374">
        <v>10</v>
      </c>
      <c r="AP59" s="374">
        <f t="shared" si="26"/>
        <v>34500</v>
      </c>
      <c r="AQ59" s="374"/>
      <c r="AR59" s="374">
        <f t="shared" si="27"/>
        <v>0</v>
      </c>
      <c r="AS59" s="374"/>
      <c r="AT59" s="414">
        <f t="shared" si="20"/>
        <v>0</v>
      </c>
      <c r="AU59" s="374"/>
      <c r="AV59" s="509">
        <f t="shared" si="16"/>
        <v>324236.528320312</v>
      </c>
      <c r="AW59" s="516"/>
      <c r="AX59" s="517"/>
    </row>
    <row r="60" s="256" customFormat="1" ht="45.75" customHeight="1" spans="1:50">
      <c r="A60" s="308">
        <v>15</v>
      </c>
      <c r="B60" s="309" t="s">
        <v>131</v>
      </c>
      <c r="C60" s="303" t="s">
        <v>132</v>
      </c>
      <c r="D60" s="342" t="s">
        <v>91</v>
      </c>
      <c r="E60" s="342" t="s">
        <v>133</v>
      </c>
      <c r="F60" s="337" t="s">
        <v>112</v>
      </c>
      <c r="G60" s="333">
        <v>5.2</v>
      </c>
      <c r="H60" s="324">
        <v>33.4</v>
      </c>
      <c r="I60" s="371">
        <f t="shared" si="2"/>
        <v>92024.4</v>
      </c>
      <c r="J60" s="372">
        <f t="shared" si="3"/>
        <v>23006.1</v>
      </c>
      <c r="K60" s="372">
        <f t="shared" si="17"/>
        <v>115030.5</v>
      </c>
      <c r="L60" s="372">
        <f t="shared" si="18"/>
        <v>230061</v>
      </c>
      <c r="M60" s="374"/>
      <c r="N60" s="374">
        <v>12</v>
      </c>
      <c r="O60" s="380">
        <v>12</v>
      </c>
      <c r="P60" s="376">
        <f t="shared" si="4"/>
        <v>24</v>
      </c>
      <c r="Q60" s="412">
        <f t="shared" si="5"/>
        <v>0</v>
      </c>
      <c r="R60" s="412">
        <f t="shared" si="6"/>
        <v>172545.75</v>
      </c>
      <c r="S60" s="412">
        <f t="shared" si="7"/>
        <v>172545.75</v>
      </c>
      <c r="T60" s="412">
        <f t="shared" si="8"/>
        <v>345091.5</v>
      </c>
      <c r="U60" s="413">
        <f t="shared" si="9"/>
        <v>34509.15</v>
      </c>
      <c r="V60" s="374"/>
      <c r="W60" s="414">
        <f t="shared" si="19"/>
        <v>0</v>
      </c>
      <c r="X60" s="415">
        <f t="shared" si="11"/>
        <v>24</v>
      </c>
      <c r="Y60" s="372">
        <f t="shared" si="12"/>
        <v>103527.45</v>
      </c>
      <c r="Z60" s="449">
        <f t="shared" si="13"/>
        <v>24</v>
      </c>
      <c r="AA60" s="450"/>
      <c r="AB60" s="372">
        <f t="shared" si="14"/>
        <v>0</v>
      </c>
      <c r="AC60" s="453"/>
      <c r="AD60" s="451">
        <v>13.63</v>
      </c>
      <c r="AE60" s="374"/>
      <c r="AF60" s="414">
        <f t="shared" si="21"/>
        <v>6030.25275</v>
      </c>
      <c r="AG60" s="414">
        <f t="shared" si="22"/>
        <v>0</v>
      </c>
      <c r="AH60" s="414"/>
      <c r="AI60" s="415">
        <v>0.5</v>
      </c>
      <c r="AJ60" s="373">
        <f t="shared" si="23"/>
        <v>0</v>
      </c>
      <c r="AK60" s="373">
        <f t="shared" si="24"/>
        <v>5309.1</v>
      </c>
      <c r="AL60" s="373"/>
      <c r="AM60" s="373">
        <f t="shared" si="25"/>
        <v>0</v>
      </c>
      <c r="AN60" s="374"/>
      <c r="AO60" s="374"/>
      <c r="AP60" s="374">
        <f t="shared" si="26"/>
        <v>0</v>
      </c>
      <c r="AQ60" s="374"/>
      <c r="AR60" s="374">
        <f t="shared" si="27"/>
        <v>0</v>
      </c>
      <c r="AS60" s="374"/>
      <c r="AT60" s="414">
        <f t="shared" si="20"/>
        <v>0</v>
      </c>
      <c r="AU60" s="374"/>
      <c r="AV60" s="509">
        <f t="shared" si="16"/>
        <v>494467.45275</v>
      </c>
      <c r="AW60" s="516"/>
      <c r="AX60" s="517"/>
    </row>
    <row r="61" s="256" customFormat="1" ht="45.75" customHeight="1" spans="1:50">
      <c r="A61" s="314"/>
      <c r="B61" s="315"/>
      <c r="C61" s="303" t="s">
        <v>114</v>
      </c>
      <c r="D61" s="343"/>
      <c r="E61" s="343"/>
      <c r="F61" s="340"/>
      <c r="G61" s="333">
        <v>5.2</v>
      </c>
      <c r="H61" s="344"/>
      <c r="I61" s="371">
        <f t="shared" si="2"/>
        <v>92024.4</v>
      </c>
      <c r="J61" s="372">
        <f t="shared" si="3"/>
        <v>23006.1</v>
      </c>
      <c r="K61" s="372">
        <f t="shared" si="17"/>
        <v>115030.5</v>
      </c>
      <c r="L61" s="372">
        <f t="shared" si="18"/>
        <v>230061</v>
      </c>
      <c r="M61" s="374"/>
      <c r="N61" s="374">
        <v>0.5</v>
      </c>
      <c r="O61" s="380">
        <v>1</v>
      </c>
      <c r="P61" s="376">
        <f t="shared" si="4"/>
        <v>1.5</v>
      </c>
      <c r="Q61" s="412">
        <f t="shared" si="5"/>
        <v>0</v>
      </c>
      <c r="R61" s="412">
        <f t="shared" si="6"/>
        <v>7189.40625</v>
      </c>
      <c r="S61" s="412">
        <f t="shared" si="7"/>
        <v>14378.8125</v>
      </c>
      <c r="T61" s="412">
        <f t="shared" si="8"/>
        <v>21568.21875</v>
      </c>
      <c r="U61" s="413">
        <f t="shared" si="9"/>
        <v>2156.821875</v>
      </c>
      <c r="V61" s="374"/>
      <c r="W61" s="414">
        <f t="shared" si="19"/>
        <v>0</v>
      </c>
      <c r="X61" s="415">
        <f t="shared" si="11"/>
        <v>1.5</v>
      </c>
      <c r="Y61" s="372">
        <f t="shared" si="12"/>
        <v>6470.465625</v>
      </c>
      <c r="Z61" s="449">
        <f t="shared" si="13"/>
        <v>1.5</v>
      </c>
      <c r="AA61" s="450"/>
      <c r="AB61" s="372">
        <f t="shared" si="14"/>
        <v>0</v>
      </c>
      <c r="AC61" s="453"/>
      <c r="AD61" s="451"/>
      <c r="AE61" s="374"/>
      <c r="AF61" s="414"/>
      <c r="AG61" s="414"/>
      <c r="AH61" s="414"/>
      <c r="AI61" s="415"/>
      <c r="AJ61" s="373"/>
      <c r="AK61" s="373"/>
      <c r="AL61" s="373"/>
      <c r="AM61" s="373"/>
      <c r="AN61" s="374"/>
      <c r="AO61" s="374"/>
      <c r="AP61" s="374"/>
      <c r="AQ61" s="374"/>
      <c r="AR61" s="374"/>
      <c r="AS61" s="374"/>
      <c r="AT61" s="414">
        <f t="shared" si="20"/>
        <v>0</v>
      </c>
      <c r="AU61" s="374"/>
      <c r="AV61" s="509">
        <f t="shared" si="16"/>
        <v>30195.50625</v>
      </c>
      <c r="AW61" s="516"/>
      <c r="AX61" s="517"/>
    </row>
    <row r="62" s="256" customFormat="1" ht="45.75" customHeight="1" spans="1:50">
      <c r="A62" s="345">
        <v>16</v>
      </c>
      <c r="B62" s="302" t="s">
        <v>134</v>
      </c>
      <c r="C62" s="303" t="s">
        <v>125</v>
      </c>
      <c r="D62" s="346" t="s">
        <v>91</v>
      </c>
      <c r="E62" s="309" t="s">
        <v>133</v>
      </c>
      <c r="F62" s="311" t="s">
        <v>112</v>
      </c>
      <c r="G62" s="333">
        <v>5.2</v>
      </c>
      <c r="H62" s="313" t="s">
        <v>135</v>
      </c>
      <c r="I62" s="371">
        <f t="shared" si="2"/>
        <v>92024.4</v>
      </c>
      <c r="J62" s="372">
        <f t="shared" si="3"/>
        <v>23006.1</v>
      </c>
      <c r="K62" s="372">
        <f t="shared" si="17"/>
        <v>115030.5</v>
      </c>
      <c r="L62" s="372">
        <f t="shared" si="18"/>
        <v>230061</v>
      </c>
      <c r="M62" s="374"/>
      <c r="N62" s="374">
        <v>15.5</v>
      </c>
      <c r="O62" s="380">
        <v>8</v>
      </c>
      <c r="P62" s="376">
        <f t="shared" si="4"/>
        <v>23.5</v>
      </c>
      <c r="Q62" s="412">
        <f t="shared" si="5"/>
        <v>0</v>
      </c>
      <c r="R62" s="412">
        <f t="shared" si="6"/>
        <v>222871.59375</v>
      </c>
      <c r="S62" s="412">
        <f t="shared" si="7"/>
        <v>115030.5</v>
      </c>
      <c r="T62" s="412">
        <f t="shared" si="8"/>
        <v>337902.09375</v>
      </c>
      <c r="U62" s="413">
        <f t="shared" si="9"/>
        <v>33790.209375</v>
      </c>
      <c r="V62" s="374">
        <v>4</v>
      </c>
      <c r="W62" s="414">
        <f t="shared" si="19"/>
        <v>1769.7</v>
      </c>
      <c r="X62" s="415">
        <f t="shared" si="11"/>
        <v>23.5</v>
      </c>
      <c r="Y62" s="372">
        <f t="shared" si="12"/>
        <v>101370.628125</v>
      </c>
      <c r="Z62" s="449">
        <f t="shared" si="13"/>
        <v>23.5</v>
      </c>
      <c r="AA62" s="450"/>
      <c r="AB62" s="372">
        <f t="shared" si="14"/>
        <v>0</v>
      </c>
      <c r="AC62" s="453"/>
      <c r="AD62" s="451"/>
      <c r="AE62" s="374"/>
      <c r="AF62" s="414">
        <f t="shared" ref="AF62:AF77" si="28">SUM(17697/16*0.4*AD62)</f>
        <v>0</v>
      </c>
      <c r="AG62" s="414">
        <f t="shared" ref="AG62:AG82" si="29">SUM(17697/16*0.5*AE62)</f>
        <v>0</v>
      </c>
      <c r="AH62" s="414"/>
      <c r="AI62" s="415">
        <v>1</v>
      </c>
      <c r="AJ62" s="373">
        <f t="shared" ref="AJ62:AJ82" si="30">SUM($I$35*AH62)*0.5</f>
        <v>0</v>
      </c>
      <c r="AK62" s="373">
        <f t="shared" ref="AK62:AK82" si="31">SUM($I$35*AI62)*0.6</f>
        <v>10618.2</v>
      </c>
      <c r="AL62" s="373"/>
      <c r="AM62" s="373">
        <f t="shared" ref="AM62:AM82" si="32">SUM($I$35*AL62)*0.2/100</f>
        <v>0</v>
      </c>
      <c r="AN62" s="374"/>
      <c r="AO62" s="374"/>
      <c r="AP62" s="374">
        <f t="shared" ref="AP62:AP82" si="33">SUM($AM$35*AO62)</f>
        <v>0</v>
      </c>
      <c r="AQ62" s="374"/>
      <c r="AR62" s="374">
        <f t="shared" ref="AR62:AR82" si="34">SUM($I$35*AQ62)</f>
        <v>0</v>
      </c>
      <c r="AS62" s="374"/>
      <c r="AT62" s="414">
        <f t="shared" si="20"/>
        <v>0</v>
      </c>
      <c r="AU62" s="374"/>
      <c r="AV62" s="509">
        <f t="shared" si="16"/>
        <v>485450.83125</v>
      </c>
      <c r="AW62" s="516"/>
      <c r="AX62" s="517"/>
    </row>
    <row r="63" s="256" customFormat="1" ht="45.75" customHeight="1" spans="1:50">
      <c r="A63" s="301">
        <v>17</v>
      </c>
      <c r="B63" s="309" t="s">
        <v>136</v>
      </c>
      <c r="C63" s="319" t="s">
        <v>137</v>
      </c>
      <c r="D63" s="310" t="s">
        <v>91</v>
      </c>
      <c r="E63" s="310" t="s">
        <v>138</v>
      </c>
      <c r="F63" s="321" t="s">
        <v>139</v>
      </c>
      <c r="G63" s="312">
        <v>4.66</v>
      </c>
      <c r="H63" s="307" t="s">
        <v>140</v>
      </c>
      <c r="I63" s="371">
        <f t="shared" si="2"/>
        <v>82468.02</v>
      </c>
      <c r="J63" s="372">
        <f t="shared" si="3"/>
        <v>20617.005</v>
      </c>
      <c r="K63" s="372">
        <f t="shared" si="17"/>
        <v>103085.025</v>
      </c>
      <c r="L63" s="372">
        <f t="shared" si="18"/>
        <v>206170.05</v>
      </c>
      <c r="M63" s="374"/>
      <c r="N63" s="374">
        <v>8</v>
      </c>
      <c r="O63" s="380">
        <v>9</v>
      </c>
      <c r="P63" s="376">
        <f t="shared" si="4"/>
        <v>17</v>
      </c>
      <c r="Q63" s="412">
        <f t="shared" si="5"/>
        <v>0</v>
      </c>
      <c r="R63" s="412">
        <f t="shared" si="6"/>
        <v>103085.025</v>
      </c>
      <c r="S63" s="412">
        <f t="shared" si="7"/>
        <v>115970.653125</v>
      </c>
      <c r="T63" s="412">
        <f t="shared" si="8"/>
        <v>219055.678125</v>
      </c>
      <c r="U63" s="413">
        <f t="shared" si="9"/>
        <v>21905.5678125</v>
      </c>
      <c r="V63" s="374"/>
      <c r="W63" s="414">
        <f t="shared" si="19"/>
        <v>0</v>
      </c>
      <c r="X63" s="415">
        <f t="shared" si="11"/>
        <v>17</v>
      </c>
      <c r="Y63" s="372">
        <f t="shared" si="12"/>
        <v>65716.7034375</v>
      </c>
      <c r="Z63" s="449">
        <f t="shared" si="13"/>
        <v>17</v>
      </c>
      <c r="AA63" s="450">
        <v>30</v>
      </c>
      <c r="AB63" s="372">
        <f t="shared" si="14"/>
        <v>65716.7034375</v>
      </c>
      <c r="AC63" s="453"/>
      <c r="AD63" s="451">
        <v>5</v>
      </c>
      <c r="AE63" s="374"/>
      <c r="AF63" s="414">
        <f t="shared" si="28"/>
        <v>2212.125</v>
      </c>
      <c r="AG63" s="414">
        <f t="shared" si="29"/>
        <v>0</v>
      </c>
      <c r="AH63" s="414"/>
      <c r="AI63" s="415"/>
      <c r="AJ63" s="373">
        <f t="shared" si="30"/>
        <v>0</v>
      </c>
      <c r="AK63" s="373">
        <f t="shared" si="31"/>
        <v>0</v>
      </c>
      <c r="AL63" s="373"/>
      <c r="AM63" s="373">
        <f t="shared" si="32"/>
        <v>0</v>
      </c>
      <c r="AN63" s="496"/>
      <c r="AO63" s="496"/>
      <c r="AP63" s="374">
        <f t="shared" si="33"/>
        <v>0</v>
      </c>
      <c r="AQ63" s="374"/>
      <c r="AR63" s="374">
        <f t="shared" si="34"/>
        <v>0</v>
      </c>
      <c r="AS63" s="374"/>
      <c r="AT63" s="414">
        <f t="shared" si="20"/>
        <v>0</v>
      </c>
      <c r="AU63" s="374"/>
      <c r="AV63" s="509">
        <f t="shared" si="16"/>
        <v>374606.7778125</v>
      </c>
      <c r="AW63" s="516"/>
      <c r="AX63" s="517"/>
    </row>
    <row r="64" s="256" customFormat="1" ht="45.75" customHeight="1" spans="1:50">
      <c r="A64" s="301">
        <v>18</v>
      </c>
      <c r="B64" s="309" t="s">
        <v>141</v>
      </c>
      <c r="C64" s="319" t="s">
        <v>142</v>
      </c>
      <c r="D64" s="310" t="s">
        <v>91</v>
      </c>
      <c r="E64" s="310" t="s">
        <v>138</v>
      </c>
      <c r="F64" s="321" t="s">
        <v>139</v>
      </c>
      <c r="G64" s="312">
        <v>4.66</v>
      </c>
      <c r="H64" s="307" t="s">
        <v>140</v>
      </c>
      <c r="I64" s="371">
        <f t="shared" si="2"/>
        <v>82468.02</v>
      </c>
      <c r="J64" s="372">
        <f t="shared" si="3"/>
        <v>20617.005</v>
      </c>
      <c r="K64" s="372">
        <f t="shared" si="17"/>
        <v>103085.025</v>
      </c>
      <c r="L64" s="372">
        <f t="shared" si="18"/>
        <v>206170.05</v>
      </c>
      <c r="M64" s="374">
        <v>6</v>
      </c>
      <c r="N64" s="374">
        <v>17.5</v>
      </c>
      <c r="O64" s="380"/>
      <c r="P64" s="376">
        <f t="shared" si="4"/>
        <v>23.5</v>
      </c>
      <c r="Q64" s="412">
        <f t="shared" si="5"/>
        <v>77313.76875</v>
      </c>
      <c r="R64" s="412">
        <f t="shared" si="6"/>
        <v>225498.4921875</v>
      </c>
      <c r="S64" s="412">
        <f t="shared" si="7"/>
        <v>0</v>
      </c>
      <c r="T64" s="412">
        <f t="shared" si="8"/>
        <v>302812.2609375</v>
      </c>
      <c r="U64" s="413">
        <f t="shared" si="9"/>
        <v>30281.22609375</v>
      </c>
      <c r="V64" s="374"/>
      <c r="W64" s="414">
        <f t="shared" si="19"/>
        <v>0</v>
      </c>
      <c r="X64" s="415">
        <f t="shared" si="11"/>
        <v>23.5</v>
      </c>
      <c r="Y64" s="372">
        <f t="shared" si="12"/>
        <v>90843.67828125</v>
      </c>
      <c r="Z64" s="449">
        <f t="shared" si="13"/>
        <v>23.5</v>
      </c>
      <c r="AA64" s="450">
        <v>30</v>
      </c>
      <c r="AB64" s="372">
        <f t="shared" si="14"/>
        <v>90843.67828125</v>
      </c>
      <c r="AC64" s="453"/>
      <c r="AD64" s="451">
        <v>8.64</v>
      </c>
      <c r="AE64" s="374"/>
      <c r="AF64" s="414">
        <f t="shared" si="28"/>
        <v>3822.552</v>
      </c>
      <c r="AG64" s="414">
        <f t="shared" si="29"/>
        <v>0</v>
      </c>
      <c r="AH64" s="414"/>
      <c r="AI64" s="415">
        <v>0.5</v>
      </c>
      <c r="AJ64" s="373">
        <f t="shared" si="30"/>
        <v>0</v>
      </c>
      <c r="AK64" s="373">
        <f t="shared" si="31"/>
        <v>5309.1</v>
      </c>
      <c r="AL64" s="373"/>
      <c r="AM64" s="373">
        <f t="shared" si="32"/>
        <v>0</v>
      </c>
      <c r="AN64" s="496"/>
      <c r="AO64" s="496"/>
      <c r="AP64" s="374">
        <f t="shared" si="33"/>
        <v>0</v>
      </c>
      <c r="AQ64" s="374"/>
      <c r="AR64" s="374">
        <f t="shared" si="34"/>
        <v>0</v>
      </c>
      <c r="AS64" s="374"/>
      <c r="AT64" s="414">
        <f t="shared" si="20"/>
        <v>0</v>
      </c>
      <c r="AU64" s="374"/>
      <c r="AV64" s="509">
        <f t="shared" si="16"/>
        <v>523912.49559375</v>
      </c>
      <c r="AW64" s="516"/>
      <c r="AX64" s="517"/>
    </row>
    <row r="65" s="256" customFormat="1" ht="45.75" customHeight="1" spans="1:50">
      <c r="A65" s="301">
        <v>19</v>
      </c>
      <c r="B65" s="309" t="s">
        <v>143</v>
      </c>
      <c r="C65" s="303" t="s">
        <v>107</v>
      </c>
      <c r="D65" s="304" t="s">
        <v>91</v>
      </c>
      <c r="E65" s="304" t="s">
        <v>138</v>
      </c>
      <c r="F65" s="305" t="s">
        <v>139</v>
      </c>
      <c r="G65" s="306">
        <v>4.66</v>
      </c>
      <c r="H65" s="307" t="s">
        <v>144</v>
      </c>
      <c r="I65" s="371">
        <f t="shared" si="2"/>
        <v>82468.02</v>
      </c>
      <c r="J65" s="372">
        <f t="shared" si="3"/>
        <v>20617.005</v>
      </c>
      <c r="K65" s="372">
        <f t="shared" si="17"/>
        <v>103085.025</v>
      </c>
      <c r="L65" s="372">
        <f t="shared" si="18"/>
        <v>206170.05</v>
      </c>
      <c r="M65" s="374"/>
      <c r="N65" s="374">
        <v>12</v>
      </c>
      <c r="O65" s="380">
        <v>6</v>
      </c>
      <c r="P65" s="376">
        <f t="shared" si="4"/>
        <v>18</v>
      </c>
      <c r="Q65" s="412">
        <f t="shared" si="5"/>
        <v>0</v>
      </c>
      <c r="R65" s="412">
        <f t="shared" si="6"/>
        <v>154627.5375</v>
      </c>
      <c r="S65" s="412">
        <f t="shared" si="7"/>
        <v>77313.76875</v>
      </c>
      <c r="T65" s="412">
        <f t="shared" si="8"/>
        <v>231941.30625</v>
      </c>
      <c r="U65" s="413">
        <f t="shared" si="9"/>
        <v>23194.130625</v>
      </c>
      <c r="V65" s="374"/>
      <c r="W65" s="414">
        <f t="shared" si="19"/>
        <v>0</v>
      </c>
      <c r="X65" s="415">
        <f t="shared" si="11"/>
        <v>18</v>
      </c>
      <c r="Y65" s="372">
        <f t="shared" si="12"/>
        <v>69582.391875</v>
      </c>
      <c r="Z65" s="449">
        <f t="shared" si="13"/>
        <v>18</v>
      </c>
      <c r="AA65" s="450">
        <v>30</v>
      </c>
      <c r="AB65" s="372">
        <f t="shared" si="14"/>
        <v>69582.391875</v>
      </c>
      <c r="AC65" s="453"/>
      <c r="AD65" s="451">
        <v>5.26</v>
      </c>
      <c r="AE65" s="374"/>
      <c r="AF65" s="414">
        <f t="shared" si="28"/>
        <v>2327.1555</v>
      </c>
      <c r="AG65" s="414">
        <f t="shared" si="29"/>
        <v>0</v>
      </c>
      <c r="AH65" s="414"/>
      <c r="AI65" s="415">
        <v>1</v>
      </c>
      <c r="AJ65" s="373">
        <f t="shared" si="30"/>
        <v>0</v>
      </c>
      <c r="AK65" s="373">
        <f t="shared" si="31"/>
        <v>10618.2</v>
      </c>
      <c r="AL65" s="373"/>
      <c r="AM65" s="373">
        <f t="shared" si="32"/>
        <v>0</v>
      </c>
      <c r="AN65" s="374"/>
      <c r="AO65" s="374"/>
      <c r="AP65" s="374">
        <f t="shared" si="33"/>
        <v>0</v>
      </c>
      <c r="AQ65" s="374"/>
      <c r="AR65" s="374">
        <f t="shared" si="34"/>
        <v>0</v>
      </c>
      <c r="AS65" s="374"/>
      <c r="AT65" s="414">
        <f t="shared" si="20"/>
        <v>0</v>
      </c>
      <c r="AU65" s="374"/>
      <c r="AV65" s="509">
        <f t="shared" si="16"/>
        <v>407245.576125</v>
      </c>
      <c r="AW65" s="516"/>
      <c r="AX65" s="517"/>
    </row>
    <row r="66" s="256" customFormat="1" ht="45.75" customHeight="1" spans="1:50">
      <c r="A66" s="301">
        <v>20</v>
      </c>
      <c r="B66" s="309" t="s">
        <v>145</v>
      </c>
      <c r="C66" s="319" t="s">
        <v>146</v>
      </c>
      <c r="D66" s="310" t="s">
        <v>91</v>
      </c>
      <c r="E66" s="310" t="s">
        <v>147</v>
      </c>
      <c r="F66" s="321" t="s">
        <v>139</v>
      </c>
      <c r="G66" s="312">
        <v>4.81</v>
      </c>
      <c r="H66" s="307" t="s">
        <v>148</v>
      </c>
      <c r="I66" s="371">
        <f t="shared" si="2"/>
        <v>85122.57</v>
      </c>
      <c r="J66" s="372">
        <f t="shared" si="3"/>
        <v>21280.6425</v>
      </c>
      <c r="K66" s="372">
        <f t="shared" si="17"/>
        <v>106403.2125</v>
      </c>
      <c r="L66" s="372">
        <f t="shared" si="18"/>
        <v>212806.425</v>
      </c>
      <c r="M66" s="374">
        <v>23</v>
      </c>
      <c r="N66" s="374"/>
      <c r="O66" s="380"/>
      <c r="P66" s="376">
        <f t="shared" si="4"/>
        <v>23</v>
      </c>
      <c r="Q66" s="412">
        <f t="shared" si="5"/>
        <v>305909.2359375</v>
      </c>
      <c r="R66" s="412">
        <f t="shared" si="6"/>
        <v>0</v>
      </c>
      <c r="S66" s="412">
        <f t="shared" si="7"/>
        <v>0</v>
      </c>
      <c r="T66" s="412">
        <f t="shared" si="8"/>
        <v>305909.2359375</v>
      </c>
      <c r="U66" s="413">
        <f t="shared" si="9"/>
        <v>30590.92359375</v>
      </c>
      <c r="V66" s="374">
        <v>18</v>
      </c>
      <c r="W66" s="414">
        <f t="shared" si="19"/>
        <v>7963.65</v>
      </c>
      <c r="X66" s="415">
        <f t="shared" si="11"/>
        <v>23</v>
      </c>
      <c r="Y66" s="372">
        <f t="shared" si="12"/>
        <v>91772.77078125</v>
      </c>
      <c r="Z66" s="449">
        <f t="shared" si="13"/>
        <v>23</v>
      </c>
      <c r="AA66" s="450">
        <v>30</v>
      </c>
      <c r="AB66" s="372">
        <f t="shared" si="14"/>
        <v>91772.77078125</v>
      </c>
      <c r="AC66" s="453"/>
      <c r="AD66" s="451">
        <v>4.5</v>
      </c>
      <c r="AE66" s="374"/>
      <c r="AF66" s="414">
        <f t="shared" si="28"/>
        <v>1990.9125</v>
      </c>
      <c r="AG66" s="414">
        <f t="shared" si="29"/>
        <v>0</v>
      </c>
      <c r="AH66" s="415">
        <v>1</v>
      </c>
      <c r="AI66" s="414"/>
      <c r="AJ66" s="373">
        <f t="shared" si="30"/>
        <v>8848.5</v>
      </c>
      <c r="AK66" s="373">
        <f t="shared" si="31"/>
        <v>0</v>
      </c>
      <c r="AL66" s="373"/>
      <c r="AM66" s="373">
        <f t="shared" si="32"/>
        <v>0</v>
      </c>
      <c r="AN66" s="374"/>
      <c r="AO66" s="374"/>
      <c r="AP66" s="374">
        <f t="shared" si="33"/>
        <v>0</v>
      </c>
      <c r="AQ66" s="374"/>
      <c r="AR66" s="374">
        <f t="shared" si="34"/>
        <v>0</v>
      </c>
      <c r="AS66" s="374"/>
      <c r="AT66" s="414">
        <f t="shared" si="20"/>
        <v>0</v>
      </c>
      <c r="AU66" s="374"/>
      <c r="AV66" s="509">
        <f t="shared" si="16"/>
        <v>538848.76359375</v>
      </c>
      <c r="AW66" s="516"/>
      <c r="AX66" s="517"/>
    </row>
    <row r="67" s="254" customFormat="1" ht="45.75" customHeight="1" spans="1:50">
      <c r="A67" s="301">
        <v>21</v>
      </c>
      <c r="B67" s="309" t="s">
        <v>149</v>
      </c>
      <c r="C67" s="303" t="s">
        <v>150</v>
      </c>
      <c r="D67" s="304" t="s">
        <v>91</v>
      </c>
      <c r="E67" s="304" t="s">
        <v>138</v>
      </c>
      <c r="F67" s="305" t="s">
        <v>139</v>
      </c>
      <c r="G67" s="306">
        <v>4.66</v>
      </c>
      <c r="H67" s="307" t="s">
        <v>140</v>
      </c>
      <c r="I67" s="371">
        <f t="shared" si="2"/>
        <v>82468.02</v>
      </c>
      <c r="J67" s="372">
        <f t="shared" si="3"/>
        <v>20617.005</v>
      </c>
      <c r="K67" s="372">
        <f t="shared" si="17"/>
        <v>103085.025</v>
      </c>
      <c r="L67" s="372">
        <f t="shared" si="18"/>
        <v>206170.05</v>
      </c>
      <c r="M67" s="373"/>
      <c r="N67" s="374">
        <v>13</v>
      </c>
      <c r="O67" s="377">
        <v>8</v>
      </c>
      <c r="P67" s="376">
        <f t="shared" si="4"/>
        <v>21</v>
      </c>
      <c r="Q67" s="412">
        <f t="shared" si="5"/>
        <v>0</v>
      </c>
      <c r="R67" s="412">
        <f t="shared" si="6"/>
        <v>167513.165625</v>
      </c>
      <c r="S67" s="412">
        <f t="shared" si="7"/>
        <v>103085.025</v>
      </c>
      <c r="T67" s="412">
        <f t="shared" si="8"/>
        <v>270598.190625</v>
      </c>
      <c r="U67" s="413">
        <f t="shared" si="9"/>
        <v>27059.8190625</v>
      </c>
      <c r="V67" s="373"/>
      <c r="W67" s="414">
        <f t="shared" si="19"/>
        <v>0</v>
      </c>
      <c r="X67" s="415">
        <f t="shared" si="11"/>
        <v>21</v>
      </c>
      <c r="Y67" s="372">
        <f t="shared" si="12"/>
        <v>81179.4571875</v>
      </c>
      <c r="Z67" s="449">
        <f t="shared" si="13"/>
        <v>21</v>
      </c>
      <c r="AA67" s="412">
        <v>30</v>
      </c>
      <c r="AB67" s="372">
        <f t="shared" si="14"/>
        <v>81179.4571875</v>
      </c>
      <c r="AC67" s="371"/>
      <c r="AD67" s="451"/>
      <c r="AE67" s="373"/>
      <c r="AF67" s="414">
        <f t="shared" si="28"/>
        <v>0</v>
      </c>
      <c r="AG67" s="414">
        <f t="shared" si="29"/>
        <v>0</v>
      </c>
      <c r="AH67" s="415"/>
      <c r="AI67" s="415">
        <v>0.5</v>
      </c>
      <c r="AJ67" s="373">
        <f t="shared" si="30"/>
        <v>0</v>
      </c>
      <c r="AK67" s="373">
        <f t="shared" si="31"/>
        <v>5309.1</v>
      </c>
      <c r="AL67" s="373"/>
      <c r="AM67" s="373">
        <f t="shared" si="32"/>
        <v>0</v>
      </c>
      <c r="AN67" s="373"/>
      <c r="AO67" s="373">
        <v>10</v>
      </c>
      <c r="AP67" s="374">
        <f t="shared" si="33"/>
        <v>34500</v>
      </c>
      <c r="AQ67" s="374"/>
      <c r="AR67" s="374">
        <f t="shared" si="34"/>
        <v>0</v>
      </c>
      <c r="AS67" s="374"/>
      <c r="AT67" s="414">
        <f t="shared" si="20"/>
        <v>0</v>
      </c>
      <c r="AU67" s="373"/>
      <c r="AV67" s="509">
        <f t="shared" si="16"/>
        <v>499826.0240625</v>
      </c>
      <c r="AW67" s="512"/>
      <c r="AX67" s="513"/>
    </row>
    <row r="68" s="254" customFormat="1" ht="45.75" customHeight="1" spans="1:50">
      <c r="A68" s="301">
        <v>22</v>
      </c>
      <c r="B68" s="319" t="s">
        <v>151</v>
      </c>
      <c r="C68" s="303" t="s">
        <v>86</v>
      </c>
      <c r="D68" s="304" t="s">
        <v>91</v>
      </c>
      <c r="E68" s="304" t="s">
        <v>138</v>
      </c>
      <c r="F68" s="305" t="s">
        <v>139</v>
      </c>
      <c r="G68" s="306">
        <v>4.59</v>
      </c>
      <c r="H68" s="331" t="s">
        <v>152</v>
      </c>
      <c r="I68" s="371">
        <f t="shared" si="2"/>
        <v>81229.23</v>
      </c>
      <c r="J68" s="372">
        <f t="shared" si="3"/>
        <v>20307.3075</v>
      </c>
      <c r="K68" s="372">
        <f t="shared" si="17"/>
        <v>101536.5375</v>
      </c>
      <c r="L68" s="372">
        <f t="shared" si="18"/>
        <v>203073.075</v>
      </c>
      <c r="M68" s="373">
        <v>6</v>
      </c>
      <c r="N68" s="374">
        <v>12</v>
      </c>
      <c r="O68" s="377">
        <v>6</v>
      </c>
      <c r="P68" s="376">
        <f t="shared" si="4"/>
        <v>24</v>
      </c>
      <c r="Q68" s="412">
        <f t="shared" si="5"/>
        <v>76152.403125</v>
      </c>
      <c r="R68" s="412">
        <f t="shared" si="6"/>
        <v>152304.80625</v>
      </c>
      <c r="S68" s="412">
        <f t="shared" si="7"/>
        <v>76152.403125</v>
      </c>
      <c r="T68" s="412">
        <f t="shared" si="8"/>
        <v>304609.6125</v>
      </c>
      <c r="U68" s="413">
        <f t="shared" si="9"/>
        <v>30460.96125</v>
      </c>
      <c r="V68" s="373">
        <v>3</v>
      </c>
      <c r="W68" s="414">
        <f t="shared" si="19"/>
        <v>1327.275</v>
      </c>
      <c r="X68" s="415">
        <f t="shared" si="11"/>
        <v>24</v>
      </c>
      <c r="Y68" s="372">
        <f t="shared" si="12"/>
        <v>91382.88375</v>
      </c>
      <c r="Z68" s="449">
        <f t="shared" si="13"/>
        <v>24</v>
      </c>
      <c r="AA68" s="412">
        <v>30</v>
      </c>
      <c r="AB68" s="372">
        <f t="shared" si="14"/>
        <v>91382.88375</v>
      </c>
      <c r="AC68" s="371"/>
      <c r="AD68" s="451"/>
      <c r="AE68" s="373"/>
      <c r="AF68" s="414">
        <f t="shared" si="28"/>
        <v>0</v>
      </c>
      <c r="AG68" s="414">
        <f t="shared" si="29"/>
        <v>0</v>
      </c>
      <c r="AH68" s="415"/>
      <c r="AI68" s="414"/>
      <c r="AJ68" s="373">
        <f t="shared" si="30"/>
        <v>0</v>
      </c>
      <c r="AK68" s="373">
        <f t="shared" si="31"/>
        <v>0</v>
      </c>
      <c r="AL68" s="373"/>
      <c r="AM68" s="373">
        <f t="shared" si="32"/>
        <v>0</v>
      </c>
      <c r="AN68" s="373"/>
      <c r="AO68" s="373"/>
      <c r="AP68" s="374">
        <f t="shared" si="33"/>
        <v>0</v>
      </c>
      <c r="AQ68" s="374">
        <v>1</v>
      </c>
      <c r="AR68" s="374">
        <f t="shared" si="34"/>
        <v>17697</v>
      </c>
      <c r="AS68" s="374"/>
      <c r="AT68" s="414">
        <f t="shared" si="20"/>
        <v>0</v>
      </c>
      <c r="AU68" s="373"/>
      <c r="AV68" s="509">
        <f t="shared" si="16"/>
        <v>536860.61625</v>
      </c>
      <c r="AW68" s="512"/>
      <c r="AX68" s="513"/>
    </row>
    <row r="69" s="256" customFormat="1" ht="45.75" customHeight="1" spans="1:50">
      <c r="A69" s="308">
        <v>23</v>
      </c>
      <c r="B69" s="330" t="s">
        <v>153</v>
      </c>
      <c r="C69" s="303" t="s">
        <v>90</v>
      </c>
      <c r="D69" s="310" t="s">
        <v>91</v>
      </c>
      <c r="E69" s="304" t="s">
        <v>138</v>
      </c>
      <c r="F69" s="305" t="s">
        <v>139</v>
      </c>
      <c r="G69" s="306">
        <v>4.51</v>
      </c>
      <c r="H69" s="331" t="s">
        <v>154</v>
      </c>
      <c r="I69" s="371">
        <f t="shared" si="2"/>
        <v>79813.47</v>
      </c>
      <c r="J69" s="372">
        <f t="shared" si="3"/>
        <v>19953.3675</v>
      </c>
      <c r="K69" s="372">
        <f t="shared" si="17"/>
        <v>99766.8375</v>
      </c>
      <c r="L69" s="372">
        <f t="shared" si="18"/>
        <v>199533.675</v>
      </c>
      <c r="M69" s="374">
        <v>7</v>
      </c>
      <c r="N69" s="374">
        <v>12</v>
      </c>
      <c r="O69" s="380">
        <v>4</v>
      </c>
      <c r="P69" s="376">
        <f t="shared" si="4"/>
        <v>23</v>
      </c>
      <c r="Q69" s="412">
        <f t="shared" si="5"/>
        <v>87295.9828125</v>
      </c>
      <c r="R69" s="412">
        <f t="shared" si="6"/>
        <v>149650.25625</v>
      </c>
      <c r="S69" s="412">
        <f t="shared" si="7"/>
        <v>49883.41875</v>
      </c>
      <c r="T69" s="412">
        <f t="shared" si="8"/>
        <v>286829.6578125</v>
      </c>
      <c r="U69" s="413">
        <f t="shared" si="9"/>
        <v>28682.96578125</v>
      </c>
      <c r="V69" s="374">
        <v>4</v>
      </c>
      <c r="W69" s="414">
        <f t="shared" si="19"/>
        <v>1769.7</v>
      </c>
      <c r="X69" s="415">
        <f t="shared" si="11"/>
        <v>23</v>
      </c>
      <c r="Y69" s="372">
        <f t="shared" si="12"/>
        <v>86048.89734375</v>
      </c>
      <c r="Z69" s="449">
        <f t="shared" si="13"/>
        <v>23</v>
      </c>
      <c r="AA69" s="450">
        <v>30</v>
      </c>
      <c r="AB69" s="372">
        <f t="shared" si="14"/>
        <v>86048.89734375</v>
      </c>
      <c r="AC69" s="453"/>
      <c r="AD69" s="451"/>
      <c r="AE69" s="373">
        <v>6</v>
      </c>
      <c r="AF69" s="414">
        <f t="shared" si="28"/>
        <v>0</v>
      </c>
      <c r="AG69" s="414">
        <f t="shared" si="29"/>
        <v>3318.1875</v>
      </c>
      <c r="AH69" s="414"/>
      <c r="AI69" s="415">
        <v>0.5</v>
      </c>
      <c r="AJ69" s="373">
        <f t="shared" si="30"/>
        <v>0</v>
      </c>
      <c r="AK69" s="373">
        <f t="shared" si="31"/>
        <v>5309.1</v>
      </c>
      <c r="AL69" s="373"/>
      <c r="AM69" s="373">
        <f t="shared" si="32"/>
        <v>0</v>
      </c>
      <c r="AN69" s="374"/>
      <c r="AO69" s="374">
        <v>10</v>
      </c>
      <c r="AP69" s="374">
        <f t="shared" si="33"/>
        <v>34500</v>
      </c>
      <c r="AQ69" s="374"/>
      <c r="AR69" s="374">
        <f t="shared" si="34"/>
        <v>0</v>
      </c>
      <c r="AS69" s="374"/>
      <c r="AT69" s="414">
        <f t="shared" si="20"/>
        <v>0</v>
      </c>
      <c r="AU69" s="374"/>
      <c r="AV69" s="509">
        <f t="shared" si="16"/>
        <v>532507.40578125</v>
      </c>
      <c r="AW69" s="516"/>
      <c r="AX69" s="517"/>
    </row>
    <row r="70" s="254" customFormat="1" ht="45.75" customHeight="1" spans="1:50">
      <c r="A70" s="518">
        <v>24</v>
      </c>
      <c r="B70" s="319" t="s">
        <v>155</v>
      </c>
      <c r="C70" s="303" t="s">
        <v>104</v>
      </c>
      <c r="D70" s="304" t="s">
        <v>91</v>
      </c>
      <c r="E70" s="304" t="s">
        <v>138</v>
      </c>
      <c r="F70" s="305" t="s">
        <v>139</v>
      </c>
      <c r="G70" s="306">
        <v>5.16</v>
      </c>
      <c r="H70" s="307" t="s">
        <v>156</v>
      </c>
      <c r="I70" s="371">
        <f t="shared" si="2"/>
        <v>91316.52</v>
      </c>
      <c r="J70" s="372">
        <f t="shared" si="3"/>
        <v>22829.13</v>
      </c>
      <c r="K70" s="372">
        <f t="shared" si="17"/>
        <v>114145.65</v>
      </c>
      <c r="L70" s="372">
        <f t="shared" si="18"/>
        <v>228291.3</v>
      </c>
      <c r="M70" s="373">
        <v>18</v>
      </c>
      <c r="N70" s="374"/>
      <c r="O70" s="377"/>
      <c r="P70" s="376">
        <f t="shared" si="4"/>
        <v>18</v>
      </c>
      <c r="Q70" s="412">
        <f t="shared" si="5"/>
        <v>256827.7125</v>
      </c>
      <c r="R70" s="412">
        <f t="shared" si="6"/>
        <v>0</v>
      </c>
      <c r="S70" s="412">
        <f t="shared" si="7"/>
        <v>0</v>
      </c>
      <c r="T70" s="412">
        <f t="shared" si="8"/>
        <v>256827.7125</v>
      </c>
      <c r="U70" s="413">
        <f t="shared" si="9"/>
        <v>25682.77125</v>
      </c>
      <c r="V70" s="373"/>
      <c r="W70" s="414">
        <f t="shared" si="19"/>
        <v>0</v>
      </c>
      <c r="X70" s="415">
        <f t="shared" si="11"/>
        <v>18</v>
      </c>
      <c r="Y70" s="372">
        <f t="shared" si="12"/>
        <v>77048.31375</v>
      </c>
      <c r="Z70" s="449">
        <f t="shared" si="13"/>
        <v>18</v>
      </c>
      <c r="AA70" s="450">
        <v>30</v>
      </c>
      <c r="AB70" s="372">
        <f t="shared" si="14"/>
        <v>77048.31375</v>
      </c>
      <c r="AC70" s="371"/>
      <c r="AD70" s="451">
        <v>18</v>
      </c>
      <c r="AE70" s="373"/>
      <c r="AF70" s="414">
        <f t="shared" si="28"/>
        <v>7963.65</v>
      </c>
      <c r="AG70" s="414">
        <f t="shared" si="29"/>
        <v>0</v>
      </c>
      <c r="AH70" s="415">
        <v>1</v>
      </c>
      <c r="AI70" s="415"/>
      <c r="AJ70" s="373">
        <f t="shared" si="30"/>
        <v>8848.5</v>
      </c>
      <c r="AK70" s="373">
        <f t="shared" si="31"/>
        <v>0</v>
      </c>
      <c r="AL70" s="373"/>
      <c r="AM70" s="373">
        <f t="shared" si="32"/>
        <v>0</v>
      </c>
      <c r="AN70" s="373"/>
      <c r="AO70" s="373"/>
      <c r="AP70" s="374">
        <f t="shared" si="33"/>
        <v>0</v>
      </c>
      <c r="AQ70" s="374"/>
      <c r="AR70" s="374">
        <f t="shared" si="34"/>
        <v>0</v>
      </c>
      <c r="AS70" s="374"/>
      <c r="AT70" s="414">
        <f t="shared" si="20"/>
        <v>0</v>
      </c>
      <c r="AU70" s="373"/>
      <c r="AV70" s="509">
        <f t="shared" si="16"/>
        <v>453419.26125</v>
      </c>
      <c r="AW70" s="512"/>
      <c r="AX70" s="513"/>
    </row>
    <row r="71" s="254" customFormat="1" ht="45.75" customHeight="1" spans="1:50">
      <c r="A71" s="308">
        <v>25</v>
      </c>
      <c r="B71" s="319" t="s">
        <v>157</v>
      </c>
      <c r="C71" s="319" t="s">
        <v>24</v>
      </c>
      <c r="D71" s="310" t="s">
        <v>91</v>
      </c>
      <c r="E71" s="304" t="s">
        <v>158</v>
      </c>
      <c r="F71" s="320" t="s">
        <v>139</v>
      </c>
      <c r="G71" s="312">
        <v>5.08</v>
      </c>
      <c r="H71" s="307" t="s">
        <v>159</v>
      </c>
      <c r="I71" s="371">
        <f t="shared" si="2"/>
        <v>89900.76</v>
      </c>
      <c r="J71" s="372">
        <f t="shared" si="3"/>
        <v>22475.19</v>
      </c>
      <c r="K71" s="372">
        <f t="shared" si="17"/>
        <v>112375.95</v>
      </c>
      <c r="L71" s="372">
        <f t="shared" si="18"/>
        <v>224751.9</v>
      </c>
      <c r="M71" s="373"/>
      <c r="N71" s="374">
        <v>3</v>
      </c>
      <c r="O71" s="377">
        <v>6</v>
      </c>
      <c r="P71" s="376">
        <f t="shared" si="4"/>
        <v>9</v>
      </c>
      <c r="Q71" s="412">
        <f t="shared" si="5"/>
        <v>0</v>
      </c>
      <c r="R71" s="412">
        <f t="shared" si="6"/>
        <v>42140.98125</v>
      </c>
      <c r="S71" s="412">
        <f t="shared" si="7"/>
        <v>84281.9625</v>
      </c>
      <c r="T71" s="412">
        <f t="shared" si="8"/>
        <v>126422.94375</v>
      </c>
      <c r="U71" s="413">
        <f t="shared" si="9"/>
        <v>12642.294375</v>
      </c>
      <c r="V71" s="373"/>
      <c r="W71" s="414">
        <f t="shared" si="19"/>
        <v>0</v>
      </c>
      <c r="X71" s="415">
        <f t="shared" si="11"/>
        <v>9</v>
      </c>
      <c r="Y71" s="372">
        <f t="shared" si="12"/>
        <v>37926.883125</v>
      </c>
      <c r="Z71" s="449">
        <f t="shared" si="13"/>
        <v>9</v>
      </c>
      <c r="AA71" s="412"/>
      <c r="AB71" s="372">
        <f t="shared" si="14"/>
        <v>0</v>
      </c>
      <c r="AC71" s="371"/>
      <c r="AD71" s="451"/>
      <c r="AE71" s="373"/>
      <c r="AF71" s="414">
        <f t="shared" si="28"/>
        <v>0</v>
      </c>
      <c r="AG71" s="414">
        <f t="shared" si="29"/>
        <v>0</v>
      </c>
      <c r="AH71" s="415"/>
      <c r="AI71" s="414"/>
      <c r="AJ71" s="373">
        <f t="shared" si="30"/>
        <v>0</v>
      </c>
      <c r="AK71" s="373">
        <f t="shared" si="31"/>
        <v>0</v>
      </c>
      <c r="AL71" s="373"/>
      <c r="AM71" s="373">
        <f t="shared" si="32"/>
        <v>0</v>
      </c>
      <c r="AN71" s="373"/>
      <c r="AO71" s="373"/>
      <c r="AP71" s="374">
        <f t="shared" si="33"/>
        <v>0</v>
      </c>
      <c r="AQ71" s="374"/>
      <c r="AR71" s="374">
        <f t="shared" si="34"/>
        <v>0</v>
      </c>
      <c r="AS71" s="374"/>
      <c r="AT71" s="414">
        <f t="shared" si="20"/>
        <v>0</v>
      </c>
      <c r="AU71" s="373"/>
      <c r="AV71" s="509">
        <f t="shared" si="16"/>
        <v>176992.12125</v>
      </c>
      <c r="AW71" s="512"/>
      <c r="AX71" s="513"/>
    </row>
    <row r="72" s="254" customFormat="1" ht="45.75" customHeight="1" spans="1:50">
      <c r="A72" s="308">
        <v>26</v>
      </c>
      <c r="B72" s="319" t="s">
        <v>149</v>
      </c>
      <c r="C72" s="303" t="s">
        <v>160</v>
      </c>
      <c r="D72" s="304" t="s">
        <v>91</v>
      </c>
      <c r="E72" s="304" t="s">
        <v>115</v>
      </c>
      <c r="F72" s="305" t="s">
        <v>116</v>
      </c>
      <c r="G72" s="306">
        <v>4.27</v>
      </c>
      <c r="H72" s="307" t="s">
        <v>140</v>
      </c>
      <c r="I72" s="371">
        <f t="shared" si="2"/>
        <v>75566.19</v>
      </c>
      <c r="J72" s="372">
        <f t="shared" si="3"/>
        <v>18891.5475</v>
      </c>
      <c r="K72" s="372">
        <f t="shared" si="17"/>
        <v>94457.7375</v>
      </c>
      <c r="L72" s="372">
        <f t="shared" si="18"/>
        <v>188915.475</v>
      </c>
      <c r="M72" s="373"/>
      <c r="N72" s="374">
        <v>3</v>
      </c>
      <c r="O72" s="377">
        <v>4</v>
      </c>
      <c r="P72" s="376">
        <f t="shared" si="4"/>
        <v>7</v>
      </c>
      <c r="Q72" s="412">
        <f t="shared" si="5"/>
        <v>0</v>
      </c>
      <c r="R72" s="412">
        <f t="shared" si="6"/>
        <v>35421.6515625</v>
      </c>
      <c r="S72" s="412">
        <f t="shared" si="7"/>
        <v>47228.86875</v>
      </c>
      <c r="T72" s="412">
        <f t="shared" si="8"/>
        <v>82650.5203125</v>
      </c>
      <c r="U72" s="413">
        <f t="shared" si="9"/>
        <v>8265.05203125</v>
      </c>
      <c r="V72" s="373"/>
      <c r="W72" s="414">
        <f t="shared" si="19"/>
        <v>0</v>
      </c>
      <c r="X72" s="415">
        <f t="shared" si="11"/>
        <v>7</v>
      </c>
      <c r="Y72" s="372">
        <f t="shared" si="12"/>
        <v>24795.15609375</v>
      </c>
      <c r="Z72" s="449">
        <f t="shared" si="13"/>
        <v>7</v>
      </c>
      <c r="AA72" s="450"/>
      <c r="AB72" s="372">
        <f t="shared" si="14"/>
        <v>0</v>
      </c>
      <c r="AC72" s="371"/>
      <c r="AD72" s="451"/>
      <c r="AE72" s="373"/>
      <c r="AF72" s="414">
        <f t="shared" si="28"/>
        <v>0</v>
      </c>
      <c r="AG72" s="414">
        <f t="shared" si="29"/>
        <v>0</v>
      </c>
      <c r="AH72" s="414"/>
      <c r="AI72" s="414"/>
      <c r="AJ72" s="373">
        <f t="shared" si="30"/>
        <v>0</v>
      </c>
      <c r="AK72" s="373">
        <f t="shared" si="31"/>
        <v>0</v>
      </c>
      <c r="AL72" s="373"/>
      <c r="AM72" s="373">
        <f t="shared" si="32"/>
        <v>0</v>
      </c>
      <c r="AN72" s="373"/>
      <c r="AO72" s="373"/>
      <c r="AP72" s="374">
        <f t="shared" si="33"/>
        <v>0</v>
      </c>
      <c r="AQ72" s="374"/>
      <c r="AR72" s="374">
        <f t="shared" si="34"/>
        <v>0</v>
      </c>
      <c r="AS72" s="374"/>
      <c r="AT72" s="414">
        <f t="shared" si="20"/>
        <v>0</v>
      </c>
      <c r="AU72" s="373"/>
      <c r="AV72" s="509">
        <f t="shared" si="16"/>
        <v>115710.7284375</v>
      </c>
      <c r="AW72" s="512"/>
      <c r="AX72" s="513"/>
    </row>
    <row r="73" s="254" customFormat="1" ht="45.75" customHeight="1" spans="1:50">
      <c r="A73" s="518">
        <v>27</v>
      </c>
      <c r="B73" s="319" t="s">
        <v>161</v>
      </c>
      <c r="C73" s="303" t="s">
        <v>104</v>
      </c>
      <c r="D73" s="304" t="s">
        <v>91</v>
      </c>
      <c r="E73" s="304" t="s">
        <v>115</v>
      </c>
      <c r="F73" s="305" t="s">
        <v>116</v>
      </c>
      <c r="G73" s="306">
        <v>4.1</v>
      </c>
      <c r="H73" s="519" t="s">
        <v>162</v>
      </c>
      <c r="I73" s="371">
        <f t="shared" si="2"/>
        <v>72557.7</v>
      </c>
      <c r="J73" s="372">
        <f t="shared" si="3"/>
        <v>18139.425</v>
      </c>
      <c r="K73" s="372">
        <f t="shared" si="17"/>
        <v>90697.125</v>
      </c>
      <c r="L73" s="372">
        <f t="shared" si="18"/>
        <v>181394.25</v>
      </c>
      <c r="M73" s="373">
        <v>17</v>
      </c>
      <c r="N73" s="374"/>
      <c r="O73" s="377"/>
      <c r="P73" s="376">
        <f t="shared" si="4"/>
        <v>17</v>
      </c>
      <c r="Q73" s="412">
        <f t="shared" si="5"/>
        <v>192731.390625</v>
      </c>
      <c r="R73" s="412">
        <f t="shared" si="6"/>
        <v>0</v>
      </c>
      <c r="S73" s="412">
        <f t="shared" si="7"/>
        <v>0</v>
      </c>
      <c r="T73" s="412">
        <f t="shared" si="8"/>
        <v>192731.390625</v>
      </c>
      <c r="U73" s="413">
        <f t="shared" si="9"/>
        <v>19273.1390625</v>
      </c>
      <c r="V73" s="373"/>
      <c r="W73" s="414">
        <f t="shared" si="19"/>
        <v>0</v>
      </c>
      <c r="X73" s="415">
        <f t="shared" si="11"/>
        <v>17</v>
      </c>
      <c r="Y73" s="372">
        <f t="shared" si="12"/>
        <v>57819.4171875</v>
      </c>
      <c r="Z73" s="449">
        <f t="shared" si="13"/>
        <v>17</v>
      </c>
      <c r="AA73" s="450"/>
      <c r="AB73" s="372">
        <f t="shared" si="14"/>
        <v>0</v>
      </c>
      <c r="AC73" s="371"/>
      <c r="AD73" s="451">
        <v>17</v>
      </c>
      <c r="AE73" s="373"/>
      <c r="AF73" s="414">
        <f t="shared" si="28"/>
        <v>7521.225</v>
      </c>
      <c r="AG73" s="414">
        <f t="shared" si="29"/>
        <v>0</v>
      </c>
      <c r="AH73" s="415">
        <v>1</v>
      </c>
      <c r="AI73" s="415"/>
      <c r="AJ73" s="373">
        <f t="shared" si="30"/>
        <v>8848.5</v>
      </c>
      <c r="AK73" s="373">
        <f t="shared" si="31"/>
        <v>0</v>
      </c>
      <c r="AL73" s="373"/>
      <c r="AM73" s="373">
        <f t="shared" si="32"/>
        <v>0</v>
      </c>
      <c r="AN73" s="373"/>
      <c r="AO73" s="373"/>
      <c r="AP73" s="374">
        <f t="shared" si="33"/>
        <v>0</v>
      </c>
      <c r="AQ73" s="374"/>
      <c r="AR73" s="374">
        <f t="shared" si="34"/>
        <v>0</v>
      </c>
      <c r="AS73" s="374"/>
      <c r="AT73" s="414">
        <f t="shared" si="20"/>
        <v>0</v>
      </c>
      <c r="AU73" s="373"/>
      <c r="AV73" s="509">
        <f t="shared" si="16"/>
        <v>286193.671875</v>
      </c>
      <c r="AW73" s="512"/>
      <c r="AX73" s="513"/>
    </row>
    <row r="74" s="254" customFormat="1" ht="45.75" customHeight="1" spans="1:50">
      <c r="A74" s="301">
        <v>28</v>
      </c>
      <c r="B74" s="319" t="s">
        <v>161</v>
      </c>
      <c r="C74" s="319" t="s">
        <v>163</v>
      </c>
      <c r="D74" s="310" t="s">
        <v>91</v>
      </c>
      <c r="E74" s="310" t="s">
        <v>115</v>
      </c>
      <c r="F74" s="321" t="s">
        <v>116</v>
      </c>
      <c r="G74" s="312">
        <v>4.1</v>
      </c>
      <c r="H74" s="307" t="s">
        <v>162</v>
      </c>
      <c r="I74" s="371">
        <f t="shared" si="2"/>
        <v>72557.7</v>
      </c>
      <c r="J74" s="372">
        <f t="shared" si="3"/>
        <v>18139.425</v>
      </c>
      <c r="K74" s="372">
        <f t="shared" si="17"/>
        <v>90697.125</v>
      </c>
      <c r="L74" s="372">
        <f t="shared" si="18"/>
        <v>181394.25</v>
      </c>
      <c r="M74" s="373">
        <v>4</v>
      </c>
      <c r="N74" s="374">
        <v>2.5</v>
      </c>
      <c r="O74" s="377"/>
      <c r="P74" s="376">
        <f t="shared" si="4"/>
        <v>6.5</v>
      </c>
      <c r="Q74" s="412">
        <f t="shared" si="5"/>
        <v>45348.5625</v>
      </c>
      <c r="R74" s="412">
        <f t="shared" si="6"/>
        <v>28342.8515625</v>
      </c>
      <c r="S74" s="412">
        <f t="shared" si="7"/>
        <v>0</v>
      </c>
      <c r="T74" s="412">
        <f t="shared" si="8"/>
        <v>73691.4140625</v>
      </c>
      <c r="U74" s="413">
        <f t="shared" si="9"/>
        <v>7369.14140625</v>
      </c>
      <c r="V74" s="373"/>
      <c r="W74" s="414">
        <f t="shared" si="19"/>
        <v>0</v>
      </c>
      <c r="X74" s="415">
        <f t="shared" si="11"/>
        <v>6.5</v>
      </c>
      <c r="Y74" s="372">
        <f t="shared" si="12"/>
        <v>22107.42421875</v>
      </c>
      <c r="Z74" s="449">
        <f t="shared" si="13"/>
        <v>6.5</v>
      </c>
      <c r="AA74" s="450"/>
      <c r="AB74" s="372">
        <f t="shared" si="14"/>
        <v>0</v>
      </c>
      <c r="AC74" s="372"/>
      <c r="AD74" s="451"/>
      <c r="AE74" s="373"/>
      <c r="AF74" s="414">
        <f t="shared" si="28"/>
        <v>0</v>
      </c>
      <c r="AG74" s="414">
        <f t="shared" si="29"/>
        <v>0</v>
      </c>
      <c r="AH74" s="414"/>
      <c r="AI74" s="415"/>
      <c r="AJ74" s="373">
        <f t="shared" si="30"/>
        <v>0</v>
      </c>
      <c r="AK74" s="373">
        <f t="shared" si="31"/>
        <v>0</v>
      </c>
      <c r="AL74" s="373"/>
      <c r="AM74" s="373">
        <f t="shared" si="32"/>
        <v>0</v>
      </c>
      <c r="AN74" s="373"/>
      <c r="AO74" s="373"/>
      <c r="AP74" s="374">
        <f t="shared" si="33"/>
        <v>0</v>
      </c>
      <c r="AQ74" s="374"/>
      <c r="AR74" s="374">
        <f t="shared" si="34"/>
        <v>0</v>
      </c>
      <c r="AS74" s="374"/>
      <c r="AT74" s="414">
        <f t="shared" si="20"/>
        <v>0</v>
      </c>
      <c r="AU74" s="373"/>
      <c r="AV74" s="509">
        <f t="shared" si="16"/>
        <v>103167.9796875</v>
      </c>
      <c r="AW74" s="512"/>
      <c r="AX74" s="513"/>
    </row>
    <row r="75" s="254" customFormat="1" ht="45.75" customHeight="1" spans="1:50">
      <c r="A75" s="301">
        <v>29</v>
      </c>
      <c r="B75" s="319" t="s">
        <v>164</v>
      </c>
      <c r="C75" s="319" t="s">
        <v>132</v>
      </c>
      <c r="D75" s="310" t="s">
        <v>91</v>
      </c>
      <c r="E75" s="310" t="s">
        <v>115</v>
      </c>
      <c r="F75" s="321" t="s">
        <v>116</v>
      </c>
      <c r="G75" s="312">
        <v>4.27</v>
      </c>
      <c r="H75" s="307" t="s">
        <v>140</v>
      </c>
      <c r="I75" s="371">
        <f t="shared" si="2"/>
        <v>75566.19</v>
      </c>
      <c r="J75" s="372">
        <f t="shared" si="3"/>
        <v>18891.5475</v>
      </c>
      <c r="K75" s="372">
        <f t="shared" si="17"/>
        <v>94457.7375</v>
      </c>
      <c r="L75" s="372">
        <f t="shared" si="18"/>
        <v>188915.475</v>
      </c>
      <c r="M75" s="373"/>
      <c r="N75" s="374">
        <v>10</v>
      </c>
      <c r="O75" s="377">
        <v>6</v>
      </c>
      <c r="P75" s="376">
        <f t="shared" si="4"/>
        <v>16</v>
      </c>
      <c r="Q75" s="412">
        <f t="shared" si="5"/>
        <v>0</v>
      </c>
      <c r="R75" s="412">
        <f t="shared" si="6"/>
        <v>118072.171875</v>
      </c>
      <c r="S75" s="412">
        <f t="shared" si="7"/>
        <v>70843.303125</v>
      </c>
      <c r="T75" s="412">
        <f t="shared" si="8"/>
        <v>188915.475</v>
      </c>
      <c r="U75" s="413">
        <f t="shared" si="9"/>
        <v>18891.5475</v>
      </c>
      <c r="V75" s="373"/>
      <c r="W75" s="414">
        <f t="shared" si="19"/>
        <v>0</v>
      </c>
      <c r="X75" s="415">
        <f t="shared" si="11"/>
        <v>16</v>
      </c>
      <c r="Y75" s="372">
        <f t="shared" si="12"/>
        <v>56674.6425</v>
      </c>
      <c r="Z75" s="449">
        <f t="shared" si="13"/>
        <v>16</v>
      </c>
      <c r="AA75" s="450"/>
      <c r="AB75" s="372">
        <f t="shared" si="14"/>
        <v>0</v>
      </c>
      <c r="AC75" s="372"/>
      <c r="AD75" s="451">
        <v>2.75</v>
      </c>
      <c r="AE75" s="373"/>
      <c r="AF75" s="414">
        <f t="shared" si="28"/>
        <v>1216.66875</v>
      </c>
      <c r="AG75" s="414">
        <f t="shared" si="29"/>
        <v>0</v>
      </c>
      <c r="AH75" s="414"/>
      <c r="AI75" s="415"/>
      <c r="AJ75" s="373">
        <f t="shared" si="30"/>
        <v>0</v>
      </c>
      <c r="AK75" s="373">
        <f t="shared" si="31"/>
        <v>0</v>
      </c>
      <c r="AL75" s="373"/>
      <c r="AM75" s="373">
        <f t="shared" si="32"/>
        <v>0</v>
      </c>
      <c r="AN75" s="373"/>
      <c r="AO75" s="373"/>
      <c r="AP75" s="374">
        <f t="shared" si="33"/>
        <v>0</v>
      </c>
      <c r="AQ75" s="374"/>
      <c r="AR75" s="374">
        <f t="shared" si="34"/>
        <v>0</v>
      </c>
      <c r="AS75" s="374"/>
      <c r="AT75" s="414">
        <f t="shared" si="20"/>
        <v>0</v>
      </c>
      <c r="AU75" s="373"/>
      <c r="AV75" s="509">
        <f t="shared" si="16"/>
        <v>265698.33375</v>
      </c>
      <c r="AW75" s="512"/>
      <c r="AX75" s="513"/>
    </row>
    <row r="76" s="254" customFormat="1" ht="45.75" customHeight="1" spans="1:50">
      <c r="A76" s="301">
        <v>30</v>
      </c>
      <c r="B76" s="319" t="s">
        <v>126</v>
      </c>
      <c r="C76" s="303" t="s">
        <v>160</v>
      </c>
      <c r="D76" s="304" t="s">
        <v>91</v>
      </c>
      <c r="E76" s="310" t="s">
        <v>115</v>
      </c>
      <c r="F76" s="321" t="s">
        <v>116</v>
      </c>
      <c r="G76" s="312">
        <v>4.27</v>
      </c>
      <c r="H76" s="307" t="s">
        <v>144</v>
      </c>
      <c r="I76" s="371">
        <f t="shared" si="2"/>
        <v>75566.19</v>
      </c>
      <c r="J76" s="372">
        <f t="shared" si="3"/>
        <v>18891.5475</v>
      </c>
      <c r="K76" s="372">
        <f t="shared" si="17"/>
        <v>94457.7375</v>
      </c>
      <c r="L76" s="372">
        <f t="shared" si="18"/>
        <v>188915.475</v>
      </c>
      <c r="M76" s="373">
        <v>5</v>
      </c>
      <c r="N76" s="374">
        <v>4</v>
      </c>
      <c r="O76" s="377">
        <v>4</v>
      </c>
      <c r="P76" s="376">
        <f t="shared" si="4"/>
        <v>13</v>
      </c>
      <c r="Q76" s="412">
        <f t="shared" si="5"/>
        <v>59036.0859375</v>
      </c>
      <c r="R76" s="412">
        <f t="shared" si="6"/>
        <v>47228.86875</v>
      </c>
      <c r="S76" s="412">
        <f t="shared" si="7"/>
        <v>47228.86875</v>
      </c>
      <c r="T76" s="412">
        <f t="shared" si="8"/>
        <v>153493.8234375</v>
      </c>
      <c r="U76" s="413">
        <f t="shared" si="9"/>
        <v>15349.38234375</v>
      </c>
      <c r="V76" s="373">
        <v>2</v>
      </c>
      <c r="W76" s="414">
        <f t="shared" si="19"/>
        <v>884.85</v>
      </c>
      <c r="X76" s="415">
        <f t="shared" si="11"/>
        <v>13</v>
      </c>
      <c r="Y76" s="372">
        <f t="shared" si="12"/>
        <v>46048.14703125</v>
      </c>
      <c r="Z76" s="449">
        <f t="shared" si="13"/>
        <v>13</v>
      </c>
      <c r="AA76" s="450"/>
      <c r="AB76" s="372">
        <f t="shared" si="14"/>
        <v>0</v>
      </c>
      <c r="AC76" s="372"/>
      <c r="AD76" s="451"/>
      <c r="AE76" s="373"/>
      <c r="AF76" s="414">
        <f t="shared" si="28"/>
        <v>0</v>
      </c>
      <c r="AG76" s="414">
        <f t="shared" si="29"/>
        <v>0</v>
      </c>
      <c r="AH76" s="414"/>
      <c r="AI76" s="414"/>
      <c r="AJ76" s="373">
        <f t="shared" si="30"/>
        <v>0</v>
      </c>
      <c r="AK76" s="373">
        <f t="shared" si="31"/>
        <v>0</v>
      </c>
      <c r="AL76" s="373"/>
      <c r="AM76" s="373">
        <f t="shared" si="32"/>
        <v>0</v>
      </c>
      <c r="AN76" s="373"/>
      <c r="AO76" s="373"/>
      <c r="AP76" s="374">
        <f t="shared" si="33"/>
        <v>0</v>
      </c>
      <c r="AQ76" s="374"/>
      <c r="AR76" s="374">
        <f t="shared" si="34"/>
        <v>0</v>
      </c>
      <c r="AS76" s="374"/>
      <c r="AT76" s="414">
        <f t="shared" si="20"/>
        <v>0</v>
      </c>
      <c r="AU76" s="373"/>
      <c r="AV76" s="509">
        <f t="shared" si="16"/>
        <v>215776.2028125</v>
      </c>
      <c r="AW76" s="512"/>
      <c r="AX76" s="513"/>
    </row>
    <row r="77" s="254" customFormat="1" ht="45.75" customHeight="1" spans="1:50">
      <c r="A77" s="301">
        <v>31</v>
      </c>
      <c r="B77" s="319" t="s">
        <v>165</v>
      </c>
      <c r="C77" s="303" t="s">
        <v>100</v>
      </c>
      <c r="D77" s="304" t="s">
        <v>91</v>
      </c>
      <c r="E77" s="310" t="s">
        <v>115</v>
      </c>
      <c r="F77" s="320" t="s">
        <v>116</v>
      </c>
      <c r="G77" s="312">
        <v>4.59</v>
      </c>
      <c r="H77" s="294">
        <v>18.3</v>
      </c>
      <c r="I77" s="371">
        <f t="shared" si="2"/>
        <v>81229.23</v>
      </c>
      <c r="J77" s="372">
        <f t="shared" si="3"/>
        <v>20307.3075</v>
      </c>
      <c r="K77" s="372">
        <f t="shared" si="17"/>
        <v>101536.5375</v>
      </c>
      <c r="L77" s="372">
        <f t="shared" si="18"/>
        <v>203073.075</v>
      </c>
      <c r="M77" s="373"/>
      <c r="N77" s="374">
        <v>5</v>
      </c>
      <c r="O77" s="377">
        <v>5</v>
      </c>
      <c r="P77" s="376">
        <f t="shared" si="4"/>
        <v>10</v>
      </c>
      <c r="Q77" s="412">
        <f t="shared" si="5"/>
        <v>0</v>
      </c>
      <c r="R77" s="412">
        <f t="shared" si="6"/>
        <v>63460.3359375</v>
      </c>
      <c r="S77" s="412">
        <f t="shared" si="7"/>
        <v>63460.3359375</v>
      </c>
      <c r="T77" s="412">
        <f t="shared" si="8"/>
        <v>126920.671875</v>
      </c>
      <c r="U77" s="413">
        <f t="shared" si="9"/>
        <v>12692.0671875</v>
      </c>
      <c r="V77" s="373"/>
      <c r="W77" s="414">
        <f t="shared" si="19"/>
        <v>0</v>
      </c>
      <c r="X77" s="415">
        <f t="shared" si="11"/>
        <v>10</v>
      </c>
      <c r="Y77" s="372">
        <f t="shared" si="12"/>
        <v>38076.2015625</v>
      </c>
      <c r="Z77" s="449">
        <f t="shared" si="13"/>
        <v>10</v>
      </c>
      <c r="AA77" s="450"/>
      <c r="AB77" s="372">
        <f t="shared" si="14"/>
        <v>0</v>
      </c>
      <c r="AC77" s="372"/>
      <c r="AD77" s="451">
        <v>2.75</v>
      </c>
      <c r="AE77" s="373"/>
      <c r="AF77" s="414">
        <f t="shared" si="28"/>
        <v>1216.66875</v>
      </c>
      <c r="AG77" s="414">
        <f t="shared" si="29"/>
        <v>0</v>
      </c>
      <c r="AH77" s="414"/>
      <c r="AI77" s="414"/>
      <c r="AJ77" s="373">
        <f t="shared" si="30"/>
        <v>0</v>
      </c>
      <c r="AK77" s="373">
        <f t="shared" si="31"/>
        <v>0</v>
      </c>
      <c r="AL77" s="373"/>
      <c r="AM77" s="373">
        <f t="shared" si="32"/>
        <v>0</v>
      </c>
      <c r="AN77" s="373"/>
      <c r="AO77" s="373"/>
      <c r="AP77" s="374">
        <f t="shared" si="33"/>
        <v>0</v>
      </c>
      <c r="AQ77" s="374"/>
      <c r="AR77" s="374">
        <f t="shared" si="34"/>
        <v>0</v>
      </c>
      <c r="AS77" s="374"/>
      <c r="AT77" s="414">
        <f t="shared" si="20"/>
        <v>0</v>
      </c>
      <c r="AU77" s="373"/>
      <c r="AV77" s="509">
        <f t="shared" si="16"/>
        <v>178905.609375</v>
      </c>
      <c r="AW77" s="512"/>
      <c r="AX77" s="513"/>
    </row>
    <row r="78" s="256" customFormat="1" ht="54" customHeight="1" spans="1:50">
      <c r="A78" s="301">
        <v>32</v>
      </c>
      <c r="B78" s="318" t="s">
        <v>165</v>
      </c>
      <c r="C78" s="319" t="s">
        <v>150</v>
      </c>
      <c r="D78" s="310" t="s">
        <v>91</v>
      </c>
      <c r="E78" s="310" t="s">
        <v>111</v>
      </c>
      <c r="F78" s="321" t="s">
        <v>112</v>
      </c>
      <c r="G78" s="312">
        <v>5.03</v>
      </c>
      <c r="H78" s="520">
        <v>18.3</v>
      </c>
      <c r="I78" s="371">
        <f t="shared" si="2"/>
        <v>89015.91</v>
      </c>
      <c r="J78" s="372">
        <f t="shared" si="3"/>
        <v>22253.9775</v>
      </c>
      <c r="K78" s="372">
        <f t="shared" si="17"/>
        <v>111269.8875</v>
      </c>
      <c r="L78" s="372">
        <f t="shared" si="18"/>
        <v>222539.775</v>
      </c>
      <c r="M78" s="374"/>
      <c r="N78" s="374"/>
      <c r="O78" s="380">
        <v>1</v>
      </c>
      <c r="P78" s="376">
        <f t="shared" si="4"/>
        <v>1</v>
      </c>
      <c r="Q78" s="412">
        <f t="shared" si="5"/>
        <v>0</v>
      </c>
      <c r="R78" s="412">
        <f t="shared" si="6"/>
        <v>0</v>
      </c>
      <c r="S78" s="412">
        <f t="shared" si="7"/>
        <v>13908.7359375</v>
      </c>
      <c r="T78" s="412">
        <f t="shared" si="8"/>
        <v>13908.7359375</v>
      </c>
      <c r="U78" s="413">
        <f t="shared" si="9"/>
        <v>1390.87359375</v>
      </c>
      <c r="V78" s="374"/>
      <c r="W78" s="414">
        <f t="shared" si="19"/>
        <v>0</v>
      </c>
      <c r="X78" s="415">
        <f t="shared" si="11"/>
        <v>1</v>
      </c>
      <c r="Y78" s="372">
        <f t="shared" si="12"/>
        <v>4172.62078125</v>
      </c>
      <c r="Z78" s="449">
        <f t="shared" si="13"/>
        <v>1</v>
      </c>
      <c r="AA78" s="450">
        <v>35</v>
      </c>
      <c r="AB78" s="372">
        <f t="shared" si="14"/>
        <v>4868.057578125</v>
      </c>
      <c r="AC78" s="453"/>
      <c r="AD78" s="451"/>
      <c r="AE78" s="374"/>
      <c r="AF78" s="414"/>
      <c r="AG78" s="414">
        <f t="shared" si="29"/>
        <v>0</v>
      </c>
      <c r="AH78" s="414"/>
      <c r="AI78" s="415"/>
      <c r="AJ78" s="373">
        <f t="shared" si="30"/>
        <v>0</v>
      </c>
      <c r="AK78" s="373">
        <f t="shared" si="31"/>
        <v>0</v>
      </c>
      <c r="AL78" s="373"/>
      <c r="AM78" s="373">
        <f t="shared" si="32"/>
        <v>0</v>
      </c>
      <c r="AN78" s="496"/>
      <c r="AO78" s="496"/>
      <c r="AP78" s="374">
        <f t="shared" si="33"/>
        <v>0</v>
      </c>
      <c r="AQ78" s="374"/>
      <c r="AR78" s="374">
        <f t="shared" si="34"/>
        <v>0</v>
      </c>
      <c r="AS78" s="374"/>
      <c r="AT78" s="414">
        <f t="shared" si="20"/>
        <v>0</v>
      </c>
      <c r="AU78" s="374"/>
      <c r="AV78" s="509">
        <f t="shared" si="16"/>
        <v>24340.287890625</v>
      </c>
      <c r="AW78" s="516"/>
      <c r="AX78" s="517"/>
    </row>
    <row r="79" s="256" customFormat="1" ht="54" customHeight="1" spans="1:50">
      <c r="A79" s="301">
        <v>33</v>
      </c>
      <c r="B79" s="318" t="s">
        <v>166</v>
      </c>
      <c r="C79" s="319" t="s">
        <v>107</v>
      </c>
      <c r="D79" s="310" t="s">
        <v>91</v>
      </c>
      <c r="E79" s="310" t="s">
        <v>115</v>
      </c>
      <c r="F79" s="321" t="s">
        <v>116</v>
      </c>
      <c r="G79" s="312">
        <v>4.14</v>
      </c>
      <c r="H79" s="520">
        <v>1.1</v>
      </c>
      <c r="I79" s="371">
        <f t="shared" si="2"/>
        <v>73265.58</v>
      </c>
      <c r="J79" s="372">
        <f t="shared" si="3"/>
        <v>18316.395</v>
      </c>
      <c r="K79" s="372">
        <f t="shared" si="17"/>
        <v>91581.975</v>
      </c>
      <c r="L79" s="372">
        <f t="shared" si="18"/>
        <v>183163.95</v>
      </c>
      <c r="M79" s="374">
        <v>8</v>
      </c>
      <c r="N79" s="374">
        <v>8</v>
      </c>
      <c r="O79" s="380"/>
      <c r="P79" s="376">
        <f t="shared" si="4"/>
        <v>16</v>
      </c>
      <c r="Q79" s="412">
        <f t="shared" si="5"/>
        <v>91581.975</v>
      </c>
      <c r="R79" s="412">
        <f t="shared" si="6"/>
        <v>91581.975</v>
      </c>
      <c r="S79" s="412">
        <f t="shared" si="7"/>
        <v>0</v>
      </c>
      <c r="T79" s="412">
        <f t="shared" si="8"/>
        <v>183163.95</v>
      </c>
      <c r="U79" s="413">
        <f t="shared" si="9"/>
        <v>18316.395</v>
      </c>
      <c r="V79" s="374"/>
      <c r="W79" s="414">
        <f t="shared" si="19"/>
        <v>0</v>
      </c>
      <c r="X79" s="415">
        <f t="shared" si="11"/>
        <v>16</v>
      </c>
      <c r="Y79" s="372">
        <f t="shared" si="12"/>
        <v>54949.185</v>
      </c>
      <c r="Z79" s="449">
        <f t="shared" si="13"/>
        <v>16</v>
      </c>
      <c r="AA79" s="450"/>
      <c r="AB79" s="372">
        <f t="shared" si="14"/>
        <v>0</v>
      </c>
      <c r="AC79" s="453"/>
      <c r="AD79" s="451">
        <v>5.5</v>
      </c>
      <c r="AE79" s="374"/>
      <c r="AF79" s="414">
        <f>SUM(17697/16*0.4*AD79)</f>
        <v>2433.3375</v>
      </c>
      <c r="AG79" s="414">
        <f t="shared" si="29"/>
        <v>0</v>
      </c>
      <c r="AH79" s="414"/>
      <c r="AI79" s="415"/>
      <c r="AJ79" s="373">
        <f t="shared" si="30"/>
        <v>0</v>
      </c>
      <c r="AK79" s="373">
        <f t="shared" si="31"/>
        <v>0</v>
      </c>
      <c r="AL79" s="373"/>
      <c r="AM79" s="373">
        <f t="shared" si="32"/>
        <v>0</v>
      </c>
      <c r="AN79" s="496"/>
      <c r="AO79" s="496"/>
      <c r="AP79" s="374">
        <f t="shared" si="33"/>
        <v>0</v>
      </c>
      <c r="AQ79" s="374"/>
      <c r="AR79" s="374">
        <f t="shared" si="34"/>
        <v>0</v>
      </c>
      <c r="AS79" s="374"/>
      <c r="AT79" s="414">
        <f t="shared" si="20"/>
        <v>0</v>
      </c>
      <c r="AU79" s="374"/>
      <c r="AV79" s="509">
        <f t="shared" si="16"/>
        <v>258862.8675</v>
      </c>
      <c r="AW79" s="516"/>
      <c r="AX79" s="517"/>
    </row>
    <row r="80" s="256" customFormat="1" ht="42" customHeight="1" spans="1:50">
      <c r="A80" s="301">
        <v>34</v>
      </c>
      <c r="B80" s="318" t="s">
        <v>167</v>
      </c>
      <c r="C80" s="319" t="s">
        <v>90</v>
      </c>
      <c r="D80" s="310" t="s">
        <v>91</v>
      </c>
      <c r="E80" s="310" t="s">
        <v>120</v>
      </c>
      <c r="F80" s="321" t="s">
        <v>112</v>
      </c>
      <c r="G80" s="312">
        <v>5.03</v>
      </c>
      <c r="H80" s="334">
        <v>16.4</v>
      </c>
      <c r="I80" s="371">
        <f t="shared" si="2"/>
        <v>89015.91</v>
      </c>
      <c r="J80" s="372">
        <f t="shared" si="3"/>
        <v>22253.9775</v>
      </c>
      <c r="K80" s="372">
        <f t="shared" si="17"/>
        <v>111269.8875</v>
      </c>
      <c r="L80" s="372">
        <f t="shared" si="18"/>
        <v>222539.775</v>
      </c>
      <c r="M80" s="374"/>
      <c r="N80" s="374"/>
      <c r="O80" s="380">
        <v>6</v>
      </c>
      <c r="P80" s="376">
        <f t="shared" si="4"/>
        <v>6</v>
      </c>
      <c r="Q80" s="412">
        <f t="shared" si="5"/>
        <v>0</v>
      </c>
      <c r="R80" s="412">
        <f t="shared" si="6"/>
        <v>0</v>
      </c>
      <c r="S80" s="412">
        <f t="shared" si="7"/>
        <v>83452.415625</v>
      </c>
      <c r="T80" s="412">
        <f t="shared" si="8"/>
        <v>83452.415625</v>
      </c>
      <c r="U80" s="413">
        <f t="shared" si="9"/>
        <v>8345.2415625</v>
      </c>
      <c r="V80" s="374"/>
      <c r="W80" s="414">
        <f t="shared" si="19"/>
        <v>0</v>
      </c>
      <c r="X80" s="415">
        <f t="shared" si="11"/>
        <v>6</v>
      </c>
      <c r="Y80" s="372">
        <f t="shared" si="12"/>
        <v>25035.7246875</v>
      </c>
      <c r="Z80" s="449">
        <f t="shared" si="13"/>
        <v>6</v>
      </c>
      <c r="AA80" s="450">
        <v>35</v>
      </c>
      <c r="AB80" s="372">
        <f t="shared" si="14"/>
        <v>29208.34546875</v>
      </c>
      <c r="AC80" s="453"/>
      <c r="AD80" s="451"/>
      <c r="AE80" s="374">
        <v>1</v>
      </c>
      <c r="AF80" s="414">
        <f>SUM(17697/16*0.4*AD80)</f>
        <v>0</v>
      </c>
      <c r="AG80" s="414">
        <f t="shared" si="29"/>
        <v>553.03125</v>
      </c>
      <c r="AH80" s="414"/>
      <c r="AI80" s="415"/>
      <c r="AJ80" s="373">
        <f t="shared" si="30"/>
        <v>0</v>
      </c>
      <c r="AK80" s="373">
        <f t="shared" si="31"/>
        <v>0</v>
      </c>
      <c r="AL80" s="373"/>
      <c r="AM80" s="373">
        <f t="shared" si="32"/>
        <v>0</v>
      </c>
      <c r="AN80" s="496"/>
      <c r="AO80" s="496"/>
      <c r="AP80" s="374">
        <f t="shared" si="33"/>
        <v>0</v>
      </c>
      <c r="AQ80" s="374"/>
      <c r="AR80" s="374">
        <f t="shared" si="34"/>
        <v>0</v>
      </c>
      <c r="AS80" s="374"/>
      <c r="AT80" s="414">
        <f t="shared" si="20"/>
        <v>0</v>
      </c>
      <c r="AU80" s="374"/>
      <c r="AV80" s="509">
        <f t="shared" si="16"/>
        <v>146594.75859375</v>
      </c>
      <c r="AW80" s="516"/>
      <c r="AX80" s="517"/>
    </row>
    <row r="81" s="254" customFormat="1" ht="36.75" customHeight="1" spans="1:50">
      <c r="A81" s="301">
        <v>35</v>
      </c>
      <c r="B81" s="328" t="s">
        <v>168</v>
      </c>
      <c r="C81" s="521" t="s">
        <v>110</v>
      </c>
      <c r="D81" s="522" t="s">
        <v>91</v>
      </c>
      <c r="E81" s="310" t="s">
        <v>115</v>
      </c>
      <c r="F81" s="305" t="s">
        <v>116</v>
      </c>
      <c r="G81" s="306">
        <v>4.73</v>
      </c>
      <c r="H81" s="331" t="s">
        <v>169</v>
      </c>
      <c r="I81" s="371">
        <f t="shared" si="2"/>
        <v>83706.81</v>
      </c>
      <c r="J81" s="372">
        <f t="shared" si="3"/>
        <v>20926.7025</v>
      </c>
      <c r="K81" s="372">
        <f t="shared" si="17"/>
        <v>104633.5125</v>
      </c>
      <c r="L81" s="372">
        <f t="shared" si="18"/>
        <v>209267.025</v>
      </c>
      <c r="M81" s="536"/>
      <c r="N81" s="536">
        <v>5</v>
      </c>
      <c r="O81" s="537">
        <v>2</v>
      </c>
      <c r="P81" s="376">
        <f t="shared" si="4"/>
        <v>7</v>
      </c>
      <c r="Q81" s="412">
        <f t="shared" si="5"/>
        <v>0</v>
      </c>
      <c r="R81" s="412">
        <f t="shared" si="6"/>
        <v>65395.9453125</v>
      </c>
      <c r="S81" s="412">
        <f t="shared" si="7"/>
        <v>26158.378125</v>
      </c>
      <c r="T81" s="412">
        <f t="shared" si="8"/>
        <v>91554.3234375</v>
      </c>
      <c r="U81" s="413">
        <f t="shared" si="9"/>
        <v>9155.43234375</v>
      </c>
      <c r="V81" s="536"/>
      <c r="W81" s="414">
        <f t="shared" si="19"/>
        <v>0</v>
      </c>
      <c r="X81" s="415">
        <f t="shared" si="11"/>
        <v>7</v>
      </c>
      <c r="Y81" s="372">
        <f t="shared" si="12"/>
        <v>27466.29703125</v>
      </c>
      <c r="Z81" s="449">
        <f t="shared" si="13"/>
        <v>7</v>
      </c>
      <c r="AA81" s="536"/>
      <c r="AB81" s="372">
        <f t="shared" si="14"/>
        <v>0</v>
      </c>
      <c r="AC81" s="536"/>
      <c r="AD81" s="536">
        <v>2.75</v>
      </c>
      <c r="AE81" s="536"/>
      <c r="AF81" s="414">
        <f>SUM(17697/16*0.4*AD81)</f>
        <v>1216.66875</v>
      </c>
      <c r="AG81" s="414">
        <f t="shared" si="29"/>
        <v>0</v>
      </c>
      <c r="AH81" s="536"/>
      <c r="AI81" s="536"/>
      <c r="AJ81" s="373">
        <f t="shared" si="30"/>
        <v>0</v>
      </c>
      <c r="AK81" s="373">
        <f t="shared" si="31"/>
        <v>0</v>
      </c>
      <c r="AL81" s="536"/>
      <c r="AM81" s="373">
        <f t="shared" si="32"/>
        <v>0</v>
      </c>
      <c r="AN81" s="536"/>
      <c r="AO81" s="536"/>
      <c r="AP81" s="374">
        <f t="shared" si="33"/>
        <v>0</v>
      </c>
      <c r="AQ81" s="536"/>
      <c r="AR81" s="374">
        <f t="shared" si="34"/>
        <v>0</v>
      </c>
      <c r="AS81" s="374"/>
      <c r="AT81" s="414">
        <f t="shared" si="20"/>
        <v>0</v>
      </c>
      <c r="AU81" s="536"/>
      <c r="AV81" s="509">
        <f t="shared" si="16"/>
        <v>129392.7215625</v>
      </c>
      <c r="AW81" s="512"/>
      <c r="AX81" s="513"/>
    </row>
    <row r="82" s="254" customFormat="1" ht="36.75" customHeight="1" spans="1:50">
      <c r="A82" s="301">
        <v>36</v>
      </c>
      <c r="B82" s="328" t="s">
        <v>118</v>
      </c>
      <c r="C82" s="521" t="s">
        <v>170</v>
      </c>
      <c r="D82" s="522" t="s">
        <v>91</v>
      </c>
      <c r="E82" s="310" t="s">
        <v>115</v>
      </c>
      <c r="F82" s="305" t="s">
        <v>116</v>
      </c>
      <c r="G82" s="306">
        <v>4.1</v>
      </c>
      <c r="H82" s="523" t="s">
        <v>162</v>
      </c>
      <c r="I82" s="371">
        <f t="shared" si="2"/>
        <v>72557.7</v>
      </c>
      <c r="J82" s="372">
        <f t="shared" si="3"/>
        <v>18139.425</v>
      </c>
      <c r="K82" s="372">
        <f t="shared" si="17"/>
        <v>90697.125</v>
      </c>
      <c r="L82" s="372">
        <f t="shared" si="18"/>
        <v>181394.25</v>
      </c>
      <c r="M82" s="536"/>
      <c r="N82" s="538">
        <v>1.5</v>
      </c>
      <c r="O82" s="537"/>
      <c r="P82" s="376">
        <f t="shared" si="4"/>
        <v>1.5</v>
      </c>
      <c r="Q82" s="412">
        <f t="shared" si="5"/>
        <v>0</v>
      </c>
      <c r="R82" s="412">
        <f t="shared" si="6"/>
        <v>17005.7109375</v>
      </c>
      <c r="S82" s="412">
        <f t="shared" si="7"/>
        <v>0</v>
      </c>
      <c r="T82" s="412">
        <f t="shared" si="8"/>
        <v>17005.7109375</v>
      </c>
      <c r="U82" s="413">
        <f t="shared" si="9"/>
        <v>1700.57109375</v>
      </c>
      <c r="V82" s="536"/>
      <c r="W82" s="414">
        <f t="shared" si="19"/>
        <v>0</v>
      </c>
      <c r="X82" s="415">
        <f t="shared" si="11"/>
        <v>1.5</v>
      </c>
      <c r="Y82" s="372">
        <f t="shared" si="12"/>
        <v>5101.71328125</v>
      </c>
      <c r="Z82" s="449">
        <f t="shared" si="13"/>
        <v>1.5</v>
      </c>
      <c r="AA82" s="536"/>
      <c r="AB82" s="372">
        <f t="shared" si="14"/>
        <v>0</v>
      </c>
      <c r="AC82" s="536"/>
      <c r="AD82" s="536"/>
      <c r="AE82" s="536"/>
      <c r="AF82" s="414">
        <f>SUM(17697/16*0.4*AD82)</f>
        <v>0</v>
      </c>
      <c r="AG82" s="414">
        <f t="shared" si="29"/>
        <v>0</v>
      </c>
      <c r="AH82" s="536"/>
      <c r="AI82" s="536"/>
      <c r="AJ82" s="373">
        <f t="shared" si="30"/>
        <v>0</v>
      </c>
      <c r="AK82" s="373">
        <f t="shared" si="31"/>
        <v>0</v>
      </c>
      <c r="AL82" s="536"/>
      <c r="AM82" s="373">
        <f t="shared" si="32"/>
        <v>0</v>
      </c>
      <c r="AN82" s="536"/>
      <c r="AO82" s="536"/>
      <c r="AP82" s="374">
        <f t="shared" si="33"/>
        <v>0</v>
      </c>
      <c r="AQ82" s="536"/>
      <c r="AR82" s="374">
        <f t="shared" si="34"/>
        <v>0</v>
      </c>
      <c r="AS82" s="374"/>
      <c r="AT82" s="414">
        <f t="shared" si="20"/>
        <v>0</v>
      </c>
      <c r="AU82" s="536"/>
      <c r="AV82" s="509">
        <f t="shared" si="16"/>
        <v>23807.9953125</v>
      </c>
      <c r="AW82" s="512"/>
      <c r="AX82" s="513"/>
    </row>
    <row r="83" s="254" customFormat="1" ht="36.75" customHeight="1" spans="1:50">
      <c r="A83" s="301"/>
      <c r="B83" s="521" t="s">
        <v>171</v>
      </c>
      <c r="C83" s="521"/>
      <c r="D83" s="521"/>
      <c r="E83" s="328"/>
      <c r="F83" s="305"/>
      <c r="G83" s="306"/>
      <c r="H83" s="524"/>
      <c r="I83" s="539">
        <f t="shared" ref="I83" si="35">17697*G83</f>
        <v>0</v>
      </c>
      <c r="J83" s="372">
        <f t="shared" ref="J83" si="36">I83*0.25</f>
        <v>0</v>
      </c>
      <c r="K83" s="412">
        <f>SUM(K43:K77)</f>
        <v>3762603.4125</v>
      </c>
      <c r="L83" s="414"/>
      <c r="M83" s="536">
        <f>SUM(M43:M82)</f>
        <v>200</v>
      </c>
      <c r="N83" s="540">
        <f t="shared" ref="N83:AV83" si="37">SUM(N43:N82)</f>
        <v>253</v>
      </c>
      <c r="O83" s="536">
        <f t="shared" si="37"/>
        <v>142</v>
      </c>
      <c r="P83" s="536">
        <f t="shared" si="37"/>
        <v>595</v>
      </c>
      <c r="Q83" s="536">
        <f t="shared" si="37"/>
        <v>2686017.478125</v>
      </c>
      <c r="R83" s="536">
        <f t="shared" si="37"/>
        <v>3418770.05859375</v>
      </c>
      <c r="S83" s="536">
        <f t="shared" si="37"/>
        <v>1915727.9015625</v>
      </c>
      <c r="T83" s="536">
        <f t="shared" si="37"/>
        <v>8020515.43828125</v>
      </c>
      <c r="U83" s="536">
        <f t="shared" si="37"/>
        <v>802051.543828125</v>
      </c>
      <c r="V83" s="536">
        <f t="shared" si="37"/>
        <v>49</v>
      </c>
      <c r="W83" s="536">
        <f t="shared" si="37"/>
        <v>21678.825</v>
      </c>
      <c r="X83" s="536">
        <f t="shared" si="37"/>
        <v>595</v>
      </c>
      <c r="Y83" s="536">
        <f t="shared" si="37"/>
        <v>2406154.63148437</v>
      </c>
      <c r="Z83" s="536">
        <f t="shared" si="37"/>
        <v>595</v>
      </c>
      <c r="AA83" s="536">
        <f t="shared" si="37"/>
        <v>900</v>
      </c>
      <c r="AB83" s="536">
        <f t="shared" si="37"/>
        <v>2072245.42335937</v>
      </c>
      <c r="AC83" s="536">
        <f t="shared" si="37"/>
        <v>0</v>
      </c>
      <c r="AD83" s="536">
        <f t="shared" si="37"/>
        <v>153.79</v>
      </c>
      <c r="AE83" s="536">
        <f t="shared" si="37"/>
        <v>51.78</v>
      </c>
      <c r="AF83" s="536">
        <f t="shared" si="37"/>
        <v>68040.54075</v>
      </c>
      <c r="AG83" s="536">
        <f t="shared" si="37"/>
        <v>28635.958125</v>
      </c>
      <c r="AH83" s="536">
        <f t="shared" si="37"/>
        <v>6.5</v>
      </c>
      <c r="AI83" s="536">
        <f t="shared" si="37"/>
        <v>7</v>
      </c>
      <c r="AJ83" s="536">
        <f t="shared" si="37"/>
        <v>57515.25</v>
      </c>
      <c r="AK83" s="536">
        <f t="shared" si="37"/>
        <v>74327.4</v>
      </c>
      <c r="AL83" s="536">
        <f t="shared" si="37"/>
        <v>0</v>
      </c>
      <c r="AM83" s="536">
        <f t="shared" si="37"/>
        <v>0</v>
      </c>
      <c r="AN83" s="536">
        <f t="shared" si="37"/>
        <v>0</v>
      </c>
      <c r="AO83" s="536">
        <f t="shared" si="37"/>
        <v>40</v>
      </c>
      <c r="AP83" s="536">
        <f t="shared" si="37"/>
        <v>138000</v>
      </c>
      <c r="AQ83" s="536">
        <f t="shared" si="37"/>
        <v>2</v>
      </c>
      <c r="AR83" s="536">
        <f t="shared" si="37"/>
        <v>35394</v>
      </c>
      <c r="AS83" s="536"/>
      <c r="AT83" s="536">
        <f t="shared" si="37"/>
        <v>17697</v>
      </c>
      <c r="AU83" s="536">
        <f t="shared" si="37"/>
        <v>0</v>
      </c>
      <c r="AV83" s="536">
        <f t="shared" si="37"/>
        <v>13742256.0108281</v>
      </c>
      <c r="AW83" s="512"/>
      <c r="AX83" s="513"/>
    </row>
    <row r="84" s="257" customFormat="1" ht="53.25" customHeight="1" spans="1:50">
      <c r="A84" s="525"/>
      <c r="B84" s="526" t="s">
        <v>172</v>
      </c>
      <c r="C84" s="527"/>
      <c r="D84" s="526"/>
      <c r="E84" s="528"/>
      <c r="F84" s="529"/>
      <c r="G84" s="528"/>
      <c r="H84" s="528"/>
      <c r="I84" s="541"/>
      <c r="J84" s="541"/>
      <c r="K84" s="541"/>
      <c r="L84" s="541"/>
      <c r="M84" s="526"/>
      <c r="N84" s="526"/>
      <c r="O84" s="526"/>
      <c r="P84" s="526"/>
      <c r="Q84" s="526"/>
      <c r="R84" s="526"/>
      <c r="S84" s="526"/>
      <c r="T84" s="526" t="s">
        <v>173</v>
      </c>
      <c r="U84" s="526"/>
      <c r="V84" s="526"/>
      <c r="W84" s="526"/>
      <c r="X84" s="526"/>
      <c r="Y84" s="526"/>
      <c r="Z84" s="526"/>
      <c r="AA84" s="543"/>
      <c r="AB84" s="543"/>
      <c r="AC84" s="526"/>
      <c r="AE84" s="526"/>
      <c r="AF84" s="526"/>
      <c r="AG84" s="526"/>
      <c r="AH84" s="526"/>
      <c r="AI84" s="526"/>
      <c r="AJ84" s="545"/>
      <c r="AX84" s="546"/>
    </row>
    <row r="85" s="253" customFormat="1" ht="35.25" hidden="1" spans="1:36">
      <c r="A85" s="530"/>
      <c r="B85" s="531"/>
      <c r="C85" s="532"/>
      <c r="D85" s="532"/>
      <c r="E85" s="533"/>
      <c r="F85" s="534"/>
      <c r="G85" s="533"/>
      <c r="H85" s="533"/>
      <c r="I85" s="542"/>
      <c r="J85" s="542"/>
      <c r="K85" s="542"/>
      <c r="L85" s="542"/>
      <c r="M85" s="532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44"/>
      <c r="AE85" s="532"/>
      <c r="AF85" s="532"/>
      <c r="AG85" s="532"/>
      <c r="AH85" s="532"/>
      <c r="AI85" s="532"/>
      <c r="AJ85" s="532"/>
    </row>
    <row r="86" ht="35.25" spans="1:2">
      <c r="A86" s="288"/>
      <c r="B86" s="532"/>
    </row>
    <row r="87" ht="35.25" spans="1:1">
      <c r="A87" s="535"/>
    </row>
  </sheetData>
  <mergeCells count="90">
    <mergeCell ref="Z2:AJ2"/>
    <mergeCell ref="S3:W3"/>
    <mergeCell ref="Z3:AJ3"/>
    <mergeCell ref="Z4:AJ4"/>
    <mergeCell ref="B5:F5"/>
    <mergeCell ref="G5:L5"/>
    <mergeCell ref="Q5:W5"/>
    <mergeCell ref="Z5:AJ5"/>
    <mergeCell ref="B7:F7"/>
    <mergeCell ref="G7:O7"/>
    <mergeCell ref="Q7:W7"/>
    <mergeCell ref="Z8:AJ8"/>
    <mergeCell ref="Z9:AJ9"/>
    <mergeCell ref="Z10:AJ10"/>
    <mergeCell ref="Z11:AJ11"/>
    <mergeCell ref="Z12:AJ12"/>
    <mergeCell ref="Z13:AJ13"/>
    <mergeCell ref="Z14:AJ14"/>
    <mergeCell ref="Z15:AJ15"/>
    <mergeCell ref="Z16:AJ16"/>
    <mergeCell ref="Z17:AJ17"/>
    <mergeCell ref="Z18:AJ18"/>
    <mergeCell ref="Z19:AJ19"/>
    <mergeCell ref="Z20:AJ20"/>
    <mergeCell ref="Z21:AJ21"/>
    <mergeCell ref="Z22:AJ22"/>
    <mergeCell ref="Z23:AJ23"/>
    <mergeCell ref="Z24:AJ24"/>
    <mergeCell ref="Z25:AJ25"/>
    <mergeCell ref="Z26:AJ26"/>
    <mergeCell ref="Z27:AJ27"/>
    <mergeCell ref="Z28:AJ28"/>
    <mergeCell ref="Z29:AJ29"/>
    <mergeCell ref="Z30:AJ30"/>
    <mergeCell ref="Z31:AJ31"/>
    <mergeCell ref="X32:AJ32"/>
    <mergeCell ref="M34:AD34"/>
    <mergeCell ref="AM35:AN35"/>
    <mergeCell ref="M41:O41"/>
    <mergeCell ref="Q41:S41"/>
    <mergeCell ref="V41:W41"/>
    <mergeCell ref="X41:Y41"/>
    <mergeCell ref="Z41:AB41"/>
    <mergeCell ref="AD41:AG41"/>
    <mergeCell ref="AH41:AU41"/>
    <mergeCell ref="AJ42:AK42"/>
    <mergeCell ref="AL42:AM42"/>
    <mergeCell ref="AO42:AP42"/>
    <mergeCell ref="AQ42:AR42"/>
    <mergeCell ref="AS42:AT42"/>
    <mergeCell ref="A41:A42"/>
    <mergeCell ref="A44:A45"/>
    <mergeCell ref="A49:A50"/>
    <mergeCell ref="A56:A57"/>
    <mergeCell ref="A60:A61"/>
    <mergeCell ref="B41:B42"/>
    <mergeCell ref="B44:B45"/>
    <mergeCell ref="B49:B50"/>
    <mergeCell ref="B56:B57"/>
    <mergeCell ref="B60:B61"/>
    <mergeCell ref="C41:C42"/>
    <mergeCell ref="D41:D42"/>
    <mergeCell ref="D60:D61"/>
    <mergeCell ref="E41:E42"/>
    <mergeCell ref="E56:E57"/>
    <mergeCell ref="E60:E61"/>
    <mergeCell ref="F41:F42"/>
    <mergeCell ref="F44:F45"/>
    <mergeCell ref="F56:F57"/>
    <mergeCell ref="F60:F61"/>
    <mergeCell ref="G41:G42"/>
    <mergeCell ref="H41:H42"/>
    <mergeCell ref="H44:H45"/>
    <mergeCell ref="H56:H57"/>
    <mergeCell ref="H60:H61"/>
    <mergeCell ref="I41:I42"/>
    <mergeCell ref="J41:J42"/>
    <mergeCell ref="K41:K42"/>
    <mergeCell ref="L41:L42"/>
    <mergeCell ref="T41:T42"/>
    <mergeCell ref="U41:U42"/>
    <mergeCell ref="X6:X7"/>
    <mergeCell ref="AC41:AC42"/>
    <mergeCell ref="AK6:AK7"/>
    <mergeCell ref="AL6:AL7"/>
    <mergeCell ref="AM6:AM7"/>
    <mergeCell ref="AN6:AN7"/>
    <mergeCell ref="AO6:AO7"/>
    <mergeCell ref="AV41:AV42"/>
    <mergeCell ref="Z6:AJ7"/>
  </mergeCells>
  <pageMargins left="0.708661417322835" right="0.708661417322835" top="0.748031496062992" bottom="0.748031496062992" header="0.31496062992126" footer="0.31496062992126"/>
  <pageSetup paperSize="9" scale="35" firstPageNumber="0" fitToWidth="2" fitToHeight="2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4"/>
  <sheetViews>
    <sheetView zoomScale="80" zoomScaleNormal="80" zoomScaleSheetLayoutView="32" topLeftCell="A28" workbookViewId="0">
      <selection activeCell="E17" sqref="E17:E18"/>
    </sheetView>
  </sheetViews>
  <sheetFormatPr defaultColWidth="9.17777777777778" defaultRowHeight="15.75"/>
  <cols>
    <col min="1" max="1" width="5.83333333333333" style="144" customWidth="1"/>
    <col min="2" max="2" width="21.4555555555556" style="144" customWidth="1"/>
    <col min="3" max="3" width="16.4555555555556" style="144" customWidth="1"/>
    <col min="4" max="4" width="12.9111111111111" style="144" customWidth="1"/>
    <col min="5" max="5" width="10.6222222222222" style="144" customWidth="1"/>
    <col min="6" max="6" width="8.72222222222222" style="145" customWidth="1"/>
    <col min="7" max="7" width="9.58888888888889" style="144" customWidth="1"/>
    <col min="8" max="8" width="9.16666666666667" style="142" customWidth="1"/>
    <col min="9" max="9" width="7.81111111111111" style="144" customWidth="1"/>
    <col min="10" max="10" width="13.7222222222222" style="144" customWidth="1"/>
    <col min="11" max="11" width="10.2" style="144" customWidth="1"/>
    <col min="12" max="12" width="13.1111111111111" style="142" customWidth="1"/>
    <col min="13" max="13" width="8.12222222222222" style="144" customWidth="1"/>
    <col min="14" max="14" width="13.5444444444444" style="144" customWidth="1"/>
    <col min="15" max="15" width="14.7888888888889" style="144" customWidth="1"/>
    <col min="16" max="16" width="6.65555555555556" style="144" customWidth="1"/>
    <col min="17" max="17" width="7.71111111111111" style="144" customWidth="1"/>
    <col min="18" max="18" width="11.5444444444444" style="144" customWidth="1"/>
    <col min="19" max="19" width="7" style="144" customWidth="1"/>
    <col min="20" max="20" width="7.48888888888889" style="144" customWidth="1"/>
    <col min="21" max="21" width="7.54444444444444" style="144" customWidth="1"/>
    <col min="22" max="22" width="9.16666666666667" style="144" customWidth="1"/>
    <col min="23" max="23" width="6.03333333333333" style="144" customWidth="1"/>
    <col min="24" max="24" width="9.15555555555555" style="144" customWidth="1"/>
    <col min="25" max="25" width="6.45555555555556" style="144" customWidth="1"/>
    <col min="26" max="26" width="10" style="144" customWidth="1"/>
    <col min="27" max="27" width="5.21111111111111" style="144" customWidth="1"/>
    <col min="28" max="28" width="9.15555555555555" style="144" customWidth="1"/>
    <col min="29" max="29" width="8.53333333333333" style="144" customWidth="1"/>
    <col min="30" max="30" width="12.0777777777778" style="144" customWidth="1"/>
    <col min="31" max="31" width="15" style="144" customWidth="1"/>
    <col min="32" max="32" width="13.5444444444444" style="144" customWidth="1"/>
    <col min="33" max="33" width="17" style="144" hidden="1" customWidth="1"/>
    <col min="34" max="16384" width="9.17777777777778" style="144"/>
  </cols>
  <sheetData>
    <row r="1" ht="18.75" spans="1:22">
      <c r="A1" s="146"/>
      <c r="B1" s="147"/>
      <c r="C1" s="147"/>
      <c r="D1" s="148"/>
      <c r="E1" s="147" t="s">
        <v>174</v>
      </c>
      <c r="F1" s="149"/>
      <c r="G1" s="148"/>
      <c r="H1" s="150"/>
      <c r="I1" s="216"/>
      <c r="J1" s="148"/>
      <c r="K1" s="148"/>
      <c r="L1" s="147"/>
      <c r="M1" s="148"/>
      <c r="N1" s="148"/>
      <c r="O1" s="148" t="s">
        <v>175</v>
      </c>
      <c r="P1" s="148"/>
      <c r="Q1" s="148"/>
      <c r="R1" s="148"/>
      <c r="S1" s="146"/>
      <c r="T1" s="146"/>
      <c r="U1" s="146"/>
      <c r="V1" s="157"/>
    </row>
    <row r="2" ht="18.75" spans="1:22">
      <c r="A2" s="146"/>
      <c r="B2" s="147"/>
      <c r="C2" s="147"/>
      <c r="D2" s="148"/>
      <c r="E2" s="147"/>
      <c r="F2" s="149"/>
      <c r="G2" s="148"/>
      <c r="H2" s="150"/>
      <c r="I2" s="216"/>
      <c r="J2" s="148"/>
      <c r="K2" s="148"/>
      <c r="L2" s="147"/>
      <c r="M2" s="148"/>
      <c r="N2" s="148"/>
      <c r="O2" s="148" t="s">
        <v>176</v>
      </c>
      <c r="P2" s="148"/>
      <c r="Q2" s="148"/>
      <c r="R2" s="148" t="s">
        <v>177</v>
      </c>
      <c r="S2" s="146"/>
      <c r="T2" s="146"/>
      <c r="U2" s="146"/>
      <c r="V2" s="157"/>
    </row>
    <row r="3" ht="18.75" spans="1:22">
      <c r="A3" s="146"/>
      <c r="B3" s="151"/>
      <c r="C3" s="151"/>
      <c r="D3" s="148"/>
      <c r="E3" s="152" t="s">
        <v>178</v>
      </c>
      <c r="F3" s="153"/>
      <c r="G3" s="154"/>
      <c r="H3" s="154"/>
      <c r="I3" s="154"/>
      <c r="J3" s="154"/>
      <c r="K3" s="154"/>
      <c r="L3" s="154"/>
      <c r="M3" s="154"/>
      <c r="N3" s="148"/>
      <c r="O3" s="148" t="s">
        <v>179</v>
      </c>
      <c r="P3" s="148"/>
      <c r="Q3" s="234" t="s">
        <v>180</v>
      </c>
      <c r="R3" s="234"/>
      <c r="S3" s="235"/>
      <c r="T3" s="146"/>
      <c r="U3" s="146"/>
      <c r="V3" s="157"/>
    </row>
    <row r="4" ht="18.75" spans="1:22">
      <c r="A4" s="146"/>
      <c r="B4" s="147"/>
      <c r="C4" s="147"/>
      <c r="D4" s="148"/>
      <c r="E4" s="147"/>
      <c r="F4" s="149"/>
      <c r="G4" s="148"/>
      <c r="H4" s="150"/>
      <c r="I4" s="216"/>
      <c r="J4" s="148"/>
      <c r="K4" s="148"/>
      <c r="L4" s="147"/>
      <c r="M4" s="148"/>
      <c r="N4" s="148"/>
      <c r="O4" s="217" t="s">
        <v>181</v>
      </c>
      <c r="P4" s="217"/>
      <c r="Q4" s="217"/>
      <c r="R4" s="217"/>
      <c r="S4" s="217"/>
      <c r="T4" s="217"/>
      <c r="U4" s="217"/>
      <c r="V4" s="157"/>
    </row>
    <row r="5" ht="18.75" customHeight="1" spans="1:25">
      <c r="A5" s="146"/>
      <c r="B5" s="155"/>
      <c r="C5" s="147"/>
      <c r="D5" s="148"/>
      <c r="E5" s="155" t="s">
        <v>182</v>
      </c>
      <c r="F5" s="156"/>
      <c r="G5" s="157"/>
      <c r="H5" s="147" t="s">
        <v>183</v>
      </c>
      <c r="I5" s="148"/>
      <c r="J5" s="148"/>
      <c r="K5" s="148"/>
      <c r="L5" s="147"/>
      <c r="M5" s="148"/>
      <c r="N5" s="148"/>
      <c r="O5" s="218" t="s">
        <v>184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</row>
    <row r="6" ht="37" customHeight="1" spans="1:25">
      <c r="A6" s="146"/>
      <c r="B6" s="147"/>
      <c r="C6" s="147"/>
      <c r="D6" s="148"/>
      <c r="E6" s="147"/>
      <c r="F6" s="149"/>
      <c r="G6" s="148"/>
      <c r="H6" s="150"/>
      <c r="I6" s="216"/>
      <c r="J6" s="148"/>
      <c r="K6" s="148"/>
      <c r="L6" s="147"/>
      <c r="M6" s="148"/>
      <c r="N6" s="14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</row>
    <row r="7" ht="18.75" spans="1:22">
      <c r="A7" s="146"/>
      <c r="B7" s="158"/>
      <c r="C7" s="147"/>
      <c r="D7" s="148"/>
      <c r="E7" s="158" t="s">
        <v>185</v>
      </c>
      <c r="F7" s="149"/>
      <c r="G7" s="148"/>
      <c r="H7" s="150"/>
      <c r="I7" s="216"/>
      <c r="J7" s="148"/>
      <c r="K7" s="148"/>
      <c r="L7" s="147"/>
      <c r="M7" s="148"/>
      <c r="N7" s="148"/>
      <c r="O7" s="148" t="s">
        <v>186</v>
      </c>
      <c r="P7" s="148"/>
      <c r="Q7" s="148"/>
      <c r="R7" s="148"/>
      <c r="S7" s="146"/>
      <c r="T7" s="146"/>
      <c r="U7" s="146"/>
      <c r="V7" s="157"/>
    </row>
    <row r="8" ht="18.75" spans="1:22">
      <c r="A8" s="146"/>
      <c r="B8" s="159"/>
      <c r="C8" s="160"/>
      <c r="D8" s="146"/>
      <c r="E8" s="146"/>
      <c r="F8" s="161"/>
      <c r="G8" s="146"/>
      <c r="H8" s="162"/>
      <c r="I8" s="219"/>
      <c r="J8" s="146"/>
      <c r="K8" s="146"/>
      <c r="L8" s="160"/>
      <c r="M8" s="146"/>
      <c r="N8" s="146"/>
      <c r="O8" s="146"/>
      <c r="P8" s="146"/>
      <c r="Q8" s="146"/>
      <c r="R8" s="146"/>
      <c r="S8" s="146"/>
      <c r="T8" s="146"/>
      <c r="U8" s="146"/>
      <c r="V8" s="157"/>
    </row>
    <row r="9" ht="18.75" spans="1:22">
      <c r="A9" s="146"/>
      <c r="B9" s="160"/>
      <c r="C9" s="160"/>
      <c r="D9" s="146"/>
      <c r="E9" s="146"/>
      <c r="F9" s="161"/>
      <c r="G9" s="146"/>
      <c r="H9" s="150" t="s">
        <v>187</v>
      </c>
      <c r="I9" s="216"/>
      <c r="J9" s="146"/>
      <c r="K9" s="146"/>
      <c r="L9" s="160"/>
      <c r="M9" s="146"/>
      <c r="N9" s="146"/>
      <c r="O9" s="146"/>
      <c r="P9" s="146"/>
      <c r="Q9" s="146"/>
      <c r="R9" s="146"/>
      <c r="S9" s="146"/>
      <c r="T9" s="146"/>
      <c r="U9" s="146"/>
      <c r="V9" s="157"/>
    </row>
    <row r="10" ht="18.75" spans="1:22">
      <c r="A10" s="146"/>
      <c r="B10" s="163" t="s">
        <v>188</v>
      </c>
      <c r="C10" s="163"/>
      <c r="D10" s="163"/>
      <c r="E10" s="163"/>
      <c r="F10" s="149"/>
      <c r="G10" s="163"/>
      <c r="H10" s="163"/>
      <c r="I10" s="163"/>
      <c r="J10" s="163"/>
      <c r="K10" s="163"/>
      <c r="L10" s="163"/>
      <c r="M10" s="163"/>
      <c r="N10" s="157"/>
      <c r="O10" s="157"/>
      <c r="P10" s="157"/>
      <c r="Q10" s="157"/>
      <c r="R10" s="148"/>
      <c r="S10" s="157"/>
      <c r="T10" s="157"/>
      <c r="U10" s="146"/>
      <c r="V10" s="157"/>
    </row>
    <row r="11" ht="18.75" spans="1:22">
      <c r="A11" s="146"/>
      <c r="B11" s="160"/>
      <c r="C11" s="147"/>
      <c r="D11" s="148"/>
      <c r="E11" s="148"/>
      <c r="F11" s="164"/>
      <c r="G11" s="148"/>
      <c r="H11" s="162"/>
      <c r="I11" s="219"/>
      <c r="J11" s="146"/>
      <c r="K11" s="146"/>
      <c r="L11" s="160"/>
      <c r="M11" s="146"/>
      <c r="N11" s="146"/>
      <c r="O11" s="146"/>
      <c r="P11" s="146"/>
      <c r="Q11" s="146"/>
      <c r="R11" s="146"/>
      <c r="S11" s="146"/>
      <c r="T11" s="146"/>
      <c r="U11" s="146"/>
      <c r="V11" s="157"/>
    </row>
    <row r="12" ht="19.5" spans="1:22">
      <c r="A12" s="146"/>
      <c r="B12" s="147" t="s">
        <v>189</v>
      </c>
      <c r="C12" s="147"/>
      <c r="D12" s="148" t="s">
        <v>41</v>
      </c>
      <c r="E12" s="148"/>
      <c r="F12" s="164">
        <v>203</v>
      </c>
      <c r="G12" s="148"/>
      <c r="H12" s="162"/>
      <c r="I12" s="219"/>
      <c r="J12" s="146"/>
      <c r="K12" s="146"/>
      <c r="L12" s="160"/>
      <c r="M12" s="146"/>
      <c r="N12" s="146"/>
      <c r="O12" s="146"/>
      <c r="P12" s="146"/>
      <c r="Q12" s="146"/>
      <c r="R12" s="146"/>
      <c r="S12" s="236"/>
      <c r="T12" s="236"/>
      <c r="U12" s="236"/>
      <c r="V12" s="157"/>
    </row>
    <row r="14" spans="2:2">
      <c r="B14" s="141" t="s">
        <v>190</v>
      </c>
    </row>
    <row r="15" spans="1:32">
      <c r="A15" s="165"/>
      <c r="B15" s="165"/>
      <c r="C15" s="165"/>
      <c r="D15" s="165"/>
      <c r="E15" s="165"/>
      <c r="F15" s="166"/>
      <c r="G15" s="167" t="s">
        <v>191</v>
      </c>
      <c r="H15" s="168">
        <v>17697</v>
      </c>
      <c r="I15" s="165"/>
      <c r="J15" s="220"/>
      <c r="K15" s="220"/>
      <c r="L15" s="220"/>
      <c r="M15" s="220"/>
      <c r="N15" s="220"/>
      <c r="O15" s="220"/>
      <c r="P15" s="220"/>
      <c r="Q15" s="237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</row>
    <row r="16" ht="18" customHeight="1" spans="1:33">
      <c r="A16" s="169" t="s">
        <v>192</v>
      </c>
      <c r="B16" s="169" t="s">
        <v>193</v>
      </c>
      <c r="C16" s="169" t="s">
        <v>194</v>
      </c>
      <c r="D16" s="169" t="s">
        <v>195</v>
      </c>
      <c r="E16" s="170" t="s">
        <v>196</v>
      </c>
      <c r="F16" s="170"/>
      <c r="G16" s="171" t="s">
        <v>197</v>
      </c>
      <c r="H16" s="172" t="s">
        <v>198</v>
      </c>
      <c r="I16" s="221" t="s">
        <v>199</v>
      </c>
      <c r="J16" s="169" t="s">
        <v>200</v>
      </c>
      <c r="K16" s="221"/>
      <c r="L16" s="222"/>
      <c r="M16" s="221" t="s">
        <v>201</v>
      </c>
      <c r="N16" s="223"/>
      <c r="O16" s="171" t="s">
        <v>202</v>
      </c>
      <c r="P16" s="221"/>
      <c r="Q16" s="238" t="s">
        <v>203</v>
      </c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41"/>
      <c r="AF16" s="169" t="s">
        <v>204</v>
      </c>
      <c r="AG16" s="247"/>
    </row>
    <row r="17" s="141" customFormat="1" ht="96.75" customHeight="1" spans="1:33">
      <c r="A17" s="169"/>
      <c r="B17" s="169"/>
      <c r="C17" s="169"/>
      <c r="D17" s="169"/>
      <c r="E17" s="169" t="s">
        <v>205</v>
      </c>
      <c r="F17" s="173" t="s">
        <v>206</v>
      </c>
      <c r="G17" s="174"/>
      <c r="H17" s="175"/>
      <c r="I17" s="224"/>
      <c r="J17" s="169"/>
      <c r="K17" s="224" t="s">
        <v>207</v>
      </c>
      <c r="L17" s="225"/>
      <c r="M17" s="226"/>
      <c r="N17" s="227"/>
      <c r="O17" s="174"/>
      <c r="P17" s="174" t="s">
        <v>208</v>
      </c>
      <c r="Q17" s="169" t="s">
        <v>209</v>
      </c>
      <c r="R17" s="169"/>
      <c r="S17" s="240" t="s">
        <v>210</v>
      </c>
      <c r="T17" s="240"/>
      <c r="U17" s="240">
        <v>0.3</v>
      </c>
      <c r="V17" s="240"/>
      <c r="W17" s="240" t="s">
        <v>211</v>
      </c>
      <c r="X17" s="240"/>
      <c r="Y17" s="240" t="s">
        <v>212</v>
      </c>
      <c r="Z17" s="240"/>
      <c r="AA17" s="169" t="s">
        <v>213</v>
      </c>
      <c r="AB17" s="169"/>
      <c r="AC17" s="242" t="s">
        <v>214</v>
      </c>
      <c r="AD17" s="243"/>
      <c r="AE17" s="171" t="s">
        <v>215</v>
      </c>
      <c r="AF17" s="169"/>
      <c r="AG17" s="248"/>
    </row>
    <row r="18" s="141" customFormat="1" ht="54" customHeight="1" spans="1:33">
      <c r="A18" s="169"/>
      <c r="B18" s="169"/>
      <c r="C18" s="169"/>
      <c r="D18" s="169"/>
      <c r="E18" s="169"/>
      <c r="F18" s="173"/>
      <c r="G18" s="176"/>
      <c r="H18" s="177"/>
      <c r="I18" s="226"/>
      <c r="J18" s="169"/>
      <c r="K18" s="226"/>
      <c r="L18" s="227"/>
      <c r="M18" s="228" t="s">
        <v>216</v>
      </c>
      <c r="N18" s="229" t="s">
        <v>217</v>
      </c>
      <c r="O18" s="176"/>
      <c r="P18" s="176"/>
      <c r="Q18" s="169" t="s">
        <v>218</v>
      </c>
      <c r="R18" s="169" t="s">
        <v>219</v>
      </c>
      <c r="S18" s="169" t="s">
        <v>218</v>
      </c>
      <c r="T18" s="169" t="s">
        <v>219</v>
      </c>
      <c r="U18" s="169" t="s">
        <v>218</v>
      </c>
      <c r="V18" s="169" t="s">
        <v>219</v>
      </c>
      <c r="W18" s="169" t="s">
        <v>76</v>
      </c>
      <c r="X18" s="169" t="s">
        <v>217</v>
      </c>
      <c r="Y18" s="169" t="s">
        <v>220</v>
      </c>
      <c r="Z18" s="169" t="s">
        <v>219</v>
      </c>
      <c r="AA18" s="169" t="s">
        <v>220</v>
      </c>
      <c r="AB18" s="169" t="s">
        <v>219</v>
      </c>
      <c r="AC18" s="169" t="s">
        <v>221</v>
      </c>
      <c r="AD18" s="173" t="s">
        <v>219</v>
      </c>
      <c r="AE18" s="176"/>
      <c r="AF18" s="169"/>
      <c r="AG18" s="248"/>
    </row>
    <row r="19" ht="19.5" customHeight="1" spans="1:33">
      <c r="A19" s="170">
        <v>1</v>
      </c>
      <c r="B19" s="170">
        <v>2</v>
      </c>
      <c r="C19" s="170">
        <v>3</v>
      </c>
      <c r="D19" s="170">
        <v>4</v>
      </c>
      <c r="E19" s="170">
        <v>5</v>
      </c>
      <c r="F19" s="170">
        <v>6</v>
      </c>
      <c r="G19" s="170">
        <v>7</v>
      </c>
      <c r="H19" s="170">
        <v>8</v>
      </c>
      <c r="I19" s="170">
        <v>9</v>
      </c>
      <c r="J19" s="170">
        <v>10</v>
      </c>
      <c r="K19" s="170"/>
      <c r="L19" s="230"/>
      <c r="M19" s="170">
        <v>11</v>
      </c>
      <c r="N19" s="170">
        <v>12</v>
      </c>
      <c r="O19" s="170">
        <v>13</v>
      </c>
      <c r="P19" s="170"/>
      <c r="Q19" s="170">
        <v>14</v>
      </c>
      <c r="R19" s="170">
        <v>15</v>
      </c>
      <c r="S19" s="170">
        <v>16</v>
      </c>
      <c r="T19" s="170">
        <v>17</v>
      </c>
      <c r="U19" s="170">
        <v>18</v>
      </c>
      <c r="V19" s="170">
        <v>19</v>
      </c>
      <c r="W19" s="170">
        <v>20</v>
      </c>
      <c r="X19" s="170">
        <v>21</v>
      </c>
      <c r="Y19" s="170">
        <v>22</v>
      </c>
      <c r="Z19" s="170">
        <v>23</v>
      </c>
      <c r="AA19" s="170">
        <v>24</v>
      </c>
      <c r="AB19" s="170">
        <v>25</v>
      </c>
      <c r="AC19" s="170"/>
      <c r="AD19" s="170">
        <v>26</v>
      </c>
      <c r="AE19" s="170">
        <v>27</v>
      </c>
      <c r="AF19" s="170">
        <v>28</v>
      </c>
      <c r="AG19" s="247"/>
    </row>
    <row r="20" s="142" customFormat="1" ht="25" customHeight="1" spans="1:33">
      <c r="A20" s="178">
        <v>1</v>
      </c>
      <c r="B20" s="179" t="s">
        <v>222</v>
      </c>
      <c r="C20" s="179" t="s">
        <v>223</v>
      </c>
      <c r="D20" s="179" t="s">
        <v>224</v>
      </c>
      <c r="E20" s="180" t="s">
        <v>225</v>
      </c>
      <c r="F20" s="181" t="s">
        <v>226</v>
      </c>
      <c r="G20" s="182">
        <v>27.9</v>
      </c>
      <c r="H20" s="183">
        <v>6.22</v>
      </c>
      <c r="I20" s="231">
        <v>1</v>
      </c>
      <c r="J20" s="190">
        <f t="shared" ref="J20:J27" si="0">$H$15*H20*I20</f>
        <v>110075.34</v>
      </c>
      <c r="K20" s="190">
        <v>100</v>
      </c>
      <c r="L20" s="190">
        <f t="shared" ref="L20:L27" si="1">(J20*K20)/100</f>
        <v>110075.34</v>
      </c>
      <c r="M20" s="179">
        <v>25</v>
      </c>
      <c r="N20" s="190">
        <f t="shared" ref="N20:N29" si="2">(J20+L20)*M20/100</f>
        <v>55037.67</v>
      </c>
      <c r="O20" s="190">
        <f t="shared" ref="O20:O27" si="3">J20+L20+N20</f>
        <v>275188.35</v>
      </c>
      <c r="P20" s="190"/>
      <c r="Q20" s="179"/>
      <c r="R20" s="179">
        <f t="shared" ref="R20:R27" si="4">SUM($H$15*0.2)*Q20</f>
        <v>0</v>
      </c>
      <c r="S20" s="179"/>
      <c r="T20" s="179">
        <f t="shared" ref="T20:T27" si="5">$H$15*0.2*S20</f>
        <v>0</v>
      </c>
      <c r="U20" s="190"/>
      <c r="V20" s="179">
        <f t="shared" ref="V20:V27" si="6">$H$15*0.3*U20</f>
        <v>0</v>
      </c>
      <c r="W20" s="179"/>
      <c r="X20" s="179">
        <f t="shared" ref="X20:X27" si="7">SUM($H$15*W20/100)</f>
        <v>0</v>
      </c>
      <c r="Y20" s="179"/>
      <c r="Z20" s="179">
        <f t="shared" ref="Z20:Z27" si="8">SUM($H$15*H20/168*24)/6*Y20</f>
        <v>0</v>
      </c>
      <c r="AA20" s="179"/>
      <c r="AB20" s="179">
        <f t="shared" ref="AB20:AB27" si="9">SUM($H$15*H20*I20*0.5/168*8)*AA20</f>
        <v>0</v>
      </c>
      <c r="AC20" s="179"/>
      <c r="AD20" s="190">
        <f t="shared" ref="AD20:AD27" si="10">O20*10%</f>
        <v>27518.835</v>
      </c>
      <c r="AE20" s="232">
        <f t="shared" ref="AE20:AE27" si="11">SUM(R20,T20,V20,Z20,X20,AD20,AB20)</f>
        <v>27518.835</v>
      </c>
      <c r="AF20" s="190">
        <f t="shared" ref="AF20:AF27" si="12">O20+AE20</f>
        <v>302707.185</v>
      </c>
      <c r="AG20" s="249"/>
    </row>
    <row r="21" ht="25" customHeight="1" spans="1:33">
      <c r="A21" s="184">
        <v>3</v>
      </c>
      <c r="B21" s="185" t="s">
        <v>227</v>
      </c>
      <c r="C21" s="186" t="s">
        <v>228</v>
      </c>
      <c r="D21" s="186" t="s">
        <v>224</v>
      </c>
      <c r="E21" s="187" t="s">
        <v>229</v>
      </c>
      <c r="F21" s="188"/>
      <c r="G21" s="186">
        <v>14.2</v>
      </c>
      <c r="H21" s="180">
        <v>5.43</v>
      </c>
      <c r="I21" s="186">
        <v>1</v>
      </c>
      <c r="J21" s="232">
        <f t="shared" si="0"/>
        <v>96094.71</v>
      </c>
      <c r="K21" s="190">
        <v>100</v>
      </c>
      <c r="L21" s="190">
        <f t="shared" si="1"/>
        <v>96094.71</v>
      </c>
      <c r="M21" s="186">
        <v>25</v>
      </c>
      <c r="N21" s="232">
        <f t="shared" si="2"/>
        <v>48047.355</v>
      </c>
      <c r="O21" s="190">
        <f t="shared" si="3"/>
        <v>240236.775</v>
      </c>
      <c r="P21" s="232"/>
      <c r="Q21" s="186"/>
      <c r="R21" s="179">
        <f t="shared" si="4"/>
        <v>0</v>
      </c>
      <c r="S21" s="186"/>
      <c r="T21" s="179">
        <f t="shared" si="5"/>
        <v>0</v>
      </c>
      <c r="U21" s="232"/>
      <c r="V21" s="179">
        <f t="shared" si="6"/>
        <v>0</v>
      </c>
      <c r="W21" s="186"/>
      <c r="X21" s="179">
        <f t="shared" si="7"/>
        <v>0</v>
      </c>
      <c r="Y21" s="186"/>
      <c r="Z21" s="179">
        <f t="shared" si="8"/>
        <v>0</v>
      </c>
      <c r="AA21" s="186"/>
      <c r="AB21" s="179">
        <f t="shared" si="9"/>
        <v>0</v>
      </c>
      <c r="AC21" s="186"/>
      <c r="AD21" s="190">
        <f t="shared" si="10"/>
        <v>24023.6775</v>
      </c>
      <c r="AE21" s="232">
        <f t="shared" si="11"/>
        <v>24023.6775</v>
      </c>
      <c r="AF21" s="190">
        <f t="shared" si="12"/>
        <v>264260.4525</v>
      </c>
      <c r="AG21" s="247"/>
    </row>
    <row r="22" ht="25" customHeight="1" spans="1:33">
      <c r="A22" s="184">
        <v>5</v>
      </c>
      <c r="B22" s="186" t="s">
        <v>230</v>
      </c>
      <c r="C22" s="186" t="s">
        <v>231</v>
      </c>
      <c r="D22" s="186" t="s">
        <v>224</v>
      </c>
      <c r="E22" s="187" t="s">
        <v>229</v>
      </c>
      <c r="F22" s="188"/>
      <c r="G22" s="186">
        <v>5</v>
      </c>
      <c r="H22" s="187">
        <v>5.01</v>
      </c>
      <c r="I22" s="186">
        <v>1</v>
      </c>
      <c r="J22" s="232">
        <f t="shared" si="0"/>
        <v>88661.97</v>
      </c>
      <c r="K22" s="190">
        <v>100</v>
      </c>
      <c r="L22" s="190">
        <f t="shared" si="1"/>
        <v>88661.97</v>
      </c>
      <c r="M22" s="186">
        <v>25</v>
      </c>
      <c r="N22" s="232">
        <f t="shared" si="2"/>
        <v>44330.985</v>
      </c>
      <c r="O22" s="190">
        <f t="shared" si="3"/>
        <v>221654.925</v>
      </c>
      <c r="P22" s="232"/>
      <c r="Q22" s="186"/>
      <c r="R22" s="179">
        <f t="shared" si="4"/>
        <v>0</v>
      </c>
      <c r="S22" s="186"/>
      <c r="T22" s="179">
        <f t="shared" si="5"/>
        <v>0</v>
      </c>
      <c r="U22" s="232"/>
      <c r="V22" s="179">
        <f t="shared" si="6"/>
        <v>0</v>
      </c>
      <c r="W22" s="186"/>
      <c r="X22" s="179">
        <f t="shared" si="7"/>
        <v>0</v>
      </c>
      <c r="Y22" s="186"/>
      <c r="Z22" s="179">
        <f t="shared" si="8"/>
        <v>0</v>
      </c>
      <c r="AA22" s="186"/>
      <c r="AB22" s="179">
        <f t="shared" si="9"/>
        <v>0</v>
      </c>
      <c r="AC22" s="186"/>
      <c r="AD22" s="190">
        <f t="shared" si="10"/>
        <v>22165.4925</v>
      </c>
      <c r="AE22" s="232">
        <f t="shared" si="11"/>
        <v>22165.4925</v>
      </c>
      <c r="AF22" s="190">
        <f t="shared" si="12"/>
        <v>243820.4175</v>
      </c>
      <c r="AG22" s="247"/>
    </row>
    <row r="23" ht="25" customHeight="1" spans="1:33">
      <c r="A23" s="184">
        <v>6</v>
      </c>
      <c r="B23" s="185" t="s">
        <v>232</v>
      </c>
      <c r="C23" s="179" t="s">
        <v>233</v>
      </c>
      <c r="D23" s="179" t="s">
        <v>234</v>
      </c>
      <c r="E23" s="180" t="s">
        <v>235</v>
      </c>
      <c r="F23" s="181"/>
      <c r="G23" s="189">
        <v>4</v>
      </c>
      <c r="H23" s="180">
        <v>4.34</v>
      </c>
      <c r="I23" s="186">
        <v>1</v>
      </c>
      <c r="J23" s="232">
        <f t="shared" si="0"/>
        <v>76804.98</v>
      </c>
      <c r="K23" s="190">
        <v>45</v>
      </c>
      <c r="L23" s="190">
        <f t="shared" si="1"/>
        <v>34562.241</v>
      </c>
      <c r="M23" s="186"/>
      <c r="N23" s="232">
        <f t="shared" si="2"/>
        <v>0</v>
      </c>
      <c r="O23" s="190">
        <f t="shared" si="3"/>
        <v>111367.221</v>
      </c>
      <c r="P23" s="232"/>
      <c r="Q23" s="186"/>
      <c r="R23" s="179">
        <f t="shared" si="4"/>
        <v>0</v>
      </c>
      <c r="S23" s="186"/>
      <c r="T23" s="179">
        <f t="shared" si="5"/>
        <v>0</v>
      </c>
      <c r="U23" s="232"/>
      <c r="V23" s="179">
        <f t="shared" si="6"/>
        <v>0</v>
      </c>
      <c r="W23" s="186"/>
      <c r="X23" s="179">
        <f t="shared" si="7"/>
        <v>0</v>
      </c>
      <c r="Y23" s="186"/>
      <c r="Z23" s="179">
        <f t="shared" si="8"/>
        <v>0</v>
      </c>
      <c r="AA23" s="186"/>
      <c r="AB23" s="179">
        <f t="shared" si="9"/>
        <v>0</v>
      </c>
      <c r="AC23" s="186"/>
      <c r="AD23" s="190">
        <f t="shared" si="10"/>
        <v>11136.7221</v>
      </c>
      <c r="AE23" s="232">
        <f t="shared" si="11"/>
        <v>11136.7221</v>
      </c>
      <c r="AF23" s="190">
        <f t="shared" si="12"/>
        <v>122503.9431</v>
      </c>
      <c r="AG23" s="247"/>
    </row>
    <row r="24" ht="25" customHeight="1" spans="1:33">
      <c r="A24" s="184">
        <v>7</v>
      </c>
      <c r="B24" s="179" t="s">
        <v>236</v>
      </c>
      <c r="C24" s="179" t="s">
        <v>237</v>
      </c>
      <c r="D24" s="186" t="s">
        <v>224</v>
      </c>
      <c r="E24" s="180" t="s">
        <v>116</v>
      </c>
      <c r="F24" s="181">
        <v>2</v>
      </c>
      <c r="G24" s="190">
        <v>23</v>
      </c>
      <c r="H24" s="180">
        <v>4.67</v>
      </c>
      <c r="I24" s="179">
        <v>1</v>
      </c>
      <c r="J24" s="190">
        <f t="shared" si="0"/>
        <v>82644.99</v>
      </c>
      <c r="K24" s="190">
        <v>100</v>
      </c>
      <c r="L24" s="190">
        <f t="shared" si="1"/>
        <v>82644.99</v>
      </c>
      <c r="M24" s="186">
        <v>25</v>
      </c>
      <c r="N24" s="232">
        <f t="shared" si="2"/>
        <v>41322.495</v>
      </c>
      <c r="O24" s="190">
        <f t="shared" si="3"/>
        <v>206612.475</v>
      </c>
      <c r="P24" s="232"/>
      <c r="Q24" s="186"/>
      <c r="R24" s="179">
        <f t="shared" si="4"/>
        <v>0</v>
      </c>
      <c r="S24" s="186"/>
      <c r="T24" s="179">
        <f t="shared" si="5"/>
        <v>0</v>
      </c>
      <c r="U24" s="232"/>
      <c r="V24" s="179">
        <f t="shared" si="6"/>
        <v>0</v>
      </c>
      <c r="W24" s="186"/>
      <c r="X24" s="179">
        <f t="shared" si="7"/>
        <v>0</v>
      </c>
      <c r="Y24" s="186"/>
      <c r="Z24" s="179">
        <f t="shared" si="8"/>
        <v>0</v>
      </c>
      <c r="AA24" s="186"/>
      <c r="AB24" s="179">
        <f t="shared" si="9"/>
        <v>0</v>
      </c>
      <c r="AC24" s="179"/>
      <c r="AD24" s="190">
        <f t="shared" si="10"/>
        <v>20661.2475</v>
      </c>
      <c r="AE24" s="232">
        <f t="shared" si="11"/>
        <v>20661.2475</v>
      </c>
      <c r="AF24" s="190">
        <f t="shared" si="12"/>
        <v>227273.7225</v>
      </c>
      <c r="AG24" s="247"/>
    </row>
    <row r="25" ht="25" customHeight="1" spans="1:33">
      <c r="A25" s="184">
        <v>8</v>
      </c>
      <c r="B25" s="191" t="s">
        <v>238</v>
      </c>
      <c r="C25" s="179" t="s">
        <v>239</v>
      </c>
      <c r="D25" s="179" t="s">
        <v>234</v>
      </c>
      <c r="E25" s="180" t="s">
        <v>240</v>
      </c>
      <c r="F25" s="188" t="s">
        <v>241</v>
      </c>
      <c r="G25" s="192">
        <v>1</v>
      </c>
      <c r="H25" s="180">
        <v>3.32</v>
      </c>
      <c r="I25" s="179">
        <v>1</v>
      </c>
      <c r="J25" s="190">
        <f t="shared" si="0"/>
        <v>58754.04</v>
      </c>
      <c r="K25" s="190">
        <v>100</v>
      </c>
      <c r="L25" s="190">
        <f t="shared" si="1"/>
        <v>58754.04</v>
      </c>
      <c r="M25" s="186">
        <v>25</v>
      </c>
      <c r="N25" s="232">
        <f t="shared" si="2"/>
        <v>29377.02</v>
      </c>
      <c r="O25" s="190">
        <f t="shared" si="3"/>
        <v>146885.1</v>
      </c>
      <c r="P25" s="232"/>
      <c r="Q25" s="186"/>
      <c r="R25" s="179">
        <f t="shared" si="4"/>
        <v>0</v>
      </c>
      <c r="S25" s="186"/>
      <c r="T25" s="179">
        <f t="shared" si="5"/>
        <v>0</v>
      </c>
      <c r="U25" s="232"/>
      <c r="V25" s="179">
        <f t="shared" si="6"/>
        <v>0</v>
      </c>
      <c r="W25" s="186"/>
      <c r="X25" s="179">
        <f t="shared" si="7"/>
        <v>0</v>
      </c>
      <c r="Y25" s="186"/>
      <c r="Z25" s="179">
        <f t="shared" si="8"/>
        <v>0</v>
      </c>
      <c r="AA25" s="186"/>
      <c r="AB25" s="179">
        <f t="shared" si="9"/>
        <v>0</v>
      </c>
      <c r="AC25" s="179"/>
      <c r="AD25" s="190">
        <f t="shared" si="10"/>
        <v>14688.51</v>
      </c>
      <c r="AE25" s="232">
        <f t="shared" si="11"/>
        <v>14688.51</v>
      </c>
      <c r="AF25" s="190">
        <f t="shared" si="12"/>
        <v>161573.61</v>
      </c>
      <c r="AG25" s="247"/>
    </row>
    <row r="26" ht="29.15" customHeight="1" spans="1:33">
      <c r="A26" s="184">
        <v>11</v>
      </c>
      <c r="B26" s="186" t="s">
        <v>242</v>
      </c>
      <c r="C26" s="186" t="s">
        <v>243</v>
      </c>
      <c r="D26" s="186" t="s">
        <v>224</v>
      </c>
      <c r="E26" s="187" t="s">
        <v>116</v>
      </c>
      <c r="F26" s="188"/>
      <c r="G26" s="193" t="s">
        <v>244</v>
      </c>
      <c r="H26" s="194">
        <v>4.1</v>
      </c>
      <c r="I26" s="186">
        <v>1</v>
      </c>
      <c r="J26" s="190">
        <f t="shared" si="0"/>
        <v>72557.7</v>
      </c>
      <c r="K26" s="190">
        <v>100</v>
      </c>
      <c r="L26" s="190">
        <f t="shared" si="1"/>
        <v>72557.7</v>
      </c>
      <c r="M26" s="186">
        <v>25</v>
      </c>
      <c r="N26" s="232">
        <f t="shared" si="2"/>
        <v>36278.85</v>
      </c>
      <c r="O26" s="190">
        <f t="shared" si="3"/>
        <v>181394.25</v>
      </c>
      <c r="P26" s="232"/>
      <c r="Q26" s="186"/>
      <c r="R26" s="179">
        <f t="shared" si="4"/>
        <v>0</v>
      </c>
      <c r="S26" s="186"/>
      <c r="T26" s="179">
        <f t="shared" si="5"/>
        <v>0</v>
      </c>
      <c r="U26" s="232"/>
      <c r="V26" s="179">
        <f t="shared" si="6"/>
        <v>0</v>
      </c>
      <c r="W26" s="186"/>
      <c r="X26" s="179">
        <f t="shared" si="7"/>
        <v>0</v>
      </c>
      <c r="Y26" s="186"/>
      <c r="Z26" s="179">
        <f t="shared" si="8"/>
        <v>0</v>
      </c>
      <c r="AA26" s="186"/>
      <c r="AB26" s="179">
        <f t="shared" si="9"/>
        <v>0</v>
      </c>
      <c r="AC26" s="186"/>
      <c r="AD26" s="190">
        <f t="shared" si="10"/>
        <v>18139.425</v>
      </c>
      <c r="AE26" s="232">
        <f t="shared" si="11"/>
        <v>18139.425</v>
      </c>
      <c r="AF26" s="190">
        <f t="shared" si="12"/>
        <v>199533.675</v>
      </c>
      <c r="AG26" s="247"/>
    </row>
    <row r="27" s="143" customFormat="1" ht="30" customHeight="1" spans="1:33">
      <c r="A27" s="184">
        <v>12</v>
      </c>
      <c r="B27" s="186" t="s">
        <v>245</v>
      </c>
      <c r="C27" s="186" t="s">
        <v>246</v>
      </c>
      <c r="D27" s="186" t="s">
        <v>224</v>
      </c>
      <c r="E27" s="187" t="s">
        <v>116</v>
      </c>
      <c r="F27" s="195"/>
      <c r="G27" s="186">
        <v>2.11</v>
      </c>
      <c r="H27" s="180">
        <v>4.1</v>
      </c>
      <c r="I27" s="186">
        <v>0.5</v>
      </c>
      <c r="J27" s="190">
        <f t="shared" si="0"/>
        <v>36278.85</v>
      </c>
      <c r="K27" s="190">
        <v>100</v>
      </c>
      <c r="L27" s="190">
        <f t="shared" si="1"/>
        <v>36278.85</v>
      </c>
      <c r="M27" s="186">
        <v>25</v>
      </c>
      <c r="N27" s="232">
        <f t="shared" si="2"/>
        <v>18139.425</v>
      </c>
      <c r="O27" s="190">
        <f t="shared" si="3"/>
        <v>90697.125</v>
      </c>
      <c r="P27" s="232"/>
      <c r="Q27" s="186"/>
      <c r="R27" s="179">
        <f t="shared" si="4"/>
        <v>0</v>
      </c>
      <c r="S27" s="187"/>
      <c r="T27" s="179">
        <f t="shared" si="5"/>
        <v>0</v>
      </c>
      <c r="U27" s="187"/>
      <c r="V27" s="179">
        <f t="shared" si="6"/>
        <v>0</v>
      </c>
      <c r="W27" s="187"/>
      <c r="X27" s="179">
        <f t="shared" si="7"/>
        <v>0</v>
      </c>
      <c r="Y27" s="187"/>
      <c r="Z27" s="179">
        <f t="shared" si="8"/>
        <v>0</v>
      </c>
      <c r="AA27" s="187"/>
      <c r="AB27" s="179">
        <f t="shared" si="9"/>
        <v>0</v>
      </c>
      <c r="AC27" s="186"/>
      <c r="AD27" s="190">
        <f t="shared" si="10"/>
        <v>9069.7125</v>
      </c>
      <c r="AE27" s="232">
        <f t="shared" si="11"/>
        <v>9069.7125</v>
      </c>
      <c r="AF27" s="190">
        <f t="shared" si="12"/>
        <v>99766.8375</v>
      </c>
      <c r="AG27" s="250"/>
    </row>
    <row r="28" s="143" customFormat="1" ht="30" customHeight="1" spans="1:33">
      <c r="A28" s="184">
        <v>13</v>
      </c>
      <c r="B28" s="186" t="s">
        <v>247</v>
      </c>
      <c r="C28" s="186" t="s">
        <v>248</v>
      </c>
      <c r="D28" s="186" t="s">
        <v>234</v>
      </c>
      <c r="E28" s="187" t="s">
        <v>249</v>
      </c>
      <c r="F28" s="195"/>
      <c r="G28" s="186">
        <v>8.9</v>
      </c>
      <c r="H28" s="180">
        <v>3.5</v>
      </c>
      <c r="I28" s="186">
        <v>1</v>
      </c>
      <c r="J28" s="190">
        <f t="shared" ref="J28:J41" si="13">$H$15*H28*I28</f>
        <v>61939.5</v>
      </c>
      <c r="K28" s="190">
        <v>45</v>
      </c>
      <c r="L28" s="190">
        <f t="shared" ref="L28:L41" si="14">(J28*K28)/100</f>
        <v>27872.775</v>
      </c>
      <c r="M28" s="186">
        <v>25</v>
      </c>
      <c r="N28" s="232">
        <f t="shared" si="2"/>
        <v>22453.06875</v>
      </c>
      <c r="O28" s="190">
        <f t="shared" ref="O28:O41" si="15">J28+L28+N28</f>
        <v>112265.34375</v>
      </c>
      <c r="P28" s="232"/>
      <c r="Q28" s="186">
        <v>1</v>
      </c>
      <c r="R28" s="179">
        <f t="shared" ref="R28:R41" si="16">SUM($H$15*0.2)*Q28</f>
        <v>3539.4</v>
      </c>
      <c r="S28" s="187"/>
      <c r="T28" s="179">
        <f t="shared" ref="T28:T37" si="17">$H$15*0.2*S28</f>
        <v>0</v>
      </c>
      <c r="U28" s="187"/>
      <c r="V28" s="179">
        <f t="shared" ref="V28:V41" si="18">$H$15*0.3*U28</f>
        <v>0</v>
      </c>
      <c r="W28" s="187"/>
      <c r="X28" s="179">
        <f t="shared" ref="X28:X37" si="19">SUM($H$15*W28/100)</f>
        <v>0</v>
      </c>
      <c r="Y28" s="187"/>
      <c r="Z28" s="179">
        <f t="shared" ref="Z28:Z41" si="20">SUM($H$15*H28/168*24)/6*Y28</f>
        <v>0</v>
      </c>
      <c r="AA28" s="187"/>
      <c r="AB28" s="179">
        <f t="shared" ref="AB28:AB41" si="21">SUM($H$15*H28*I28*0.5/168*8)*AA28</f>
        <v>0</v>
      </c>
      <c r="AC28" s="186"/>
      <c r="AD28" s="190">
        <f t="shared" ref="AD28:AD41" si="22">O28*10%</f>
        <v>11226.534375</v>
      </c>
      <c r="AE28" s="232">
        <f t="shared" ref="AE28:AE41" si="23">SUM(R28,T28,V28,Z28,X28,AD28,AB28)</f>
        <v>14765.934375</v>
      </c>
      <c r="AF28" s="190">
        <f t="shared" ref="AF28:AF41" si="24">O28+AE28</f>
        <v>127031.278125</v>
      </c>
      <c r="AG28" s="250"/>
    </row>
    <row r="29" ht="19" customHeight="1" spans="1:33">
      <c r="A29" s="184">
        <v>14</v>
      </c>
      <c r="B29" s="196" t="s">
        <v>250</v>
      </c>
      <c r="C29" s="197" t="s">
        <v>251</v>
      </c>
      <c r="D29" s="186" t="s">
        <v>224</v>
      </c>
      <c r="E29" s="187" t="s">
        <v>252</v>
      </c>
      <c r="F29" s="188"/>
      <c r="G29" s="193">
        <v>2.1</v>
      </c>
      <c r="H29" s="180">
        <v>2.98</v>
      </c>
      <c r="I29" s="186">
        <v>1</v>
      </c>
      <c r="J29" s="232">
        <f t="shared" si="13"/>
        <v>52737.06</v>
      </c>
      <c r="K29" s="190">
        <v>45</v>
      </c>
      <c r="L29" s="190">
        <f t="shared" si="14"/>
        <v>23731.677</v>
      </c>
      <c r="M29" s="186"/>
      <c r="N29" s="232">
        <f t="shared" si="2"/>
        <v>0</v>
      </c>
      <c r="O29" s="190">
        <f t="shared" si="15"/>
        <v>76468.737</v>
      </c>
      <c r="P29" s="232"/>
      <c r="Q29" s="186"/>
      <c r="R29" s="179">
        <f t="shared" si="16"/>
        <v>0</v>
      </c>
      <c r="S29" s="186"/>
      <c r="T29" s="179">
        <f t="shared" si="17"/>
        <v>0</v>
      </c>
      <c r="U29" s="232"/>
      <c r="V29" s="179">
        <f t="shared" si="18"/>
        <v>0</v>
      </c>
      <c r="W29" s="186"/>
      <c r="X29" s="179">
        <f t="shared" si="19"/>
        <v>0</v>
      </c>
      <c r="Y29" s="186"/>
      <c r="Z29" s="179">
        <f t="shared" si="20"/>
        <v>0</v>
      </c>
      <c r="AA29" s="186"/>
      <c r="AB29" s="179">
        <f t="shared" si="21"/>
        <v>0</v>
      </c>
      <c r="AC29" s="186"/>
      <c r="AD29" s="190">
        <f t="shared" si="22"/>
        <v>7646.8737</v>
      </c>
      <c r="AE29" s="232">
        <f t="shared" si="23"/>
        <v>7646.8737</v>
      </c>
      <c r="AF29" s="190">
        <f t="shared" si="24"/>
        <v>84115.6107</v>
      </c>
      <c r="AG29" s="247"/>
    </row>
    <row r="30" ht="25" customHeight="1" spans="1:33">
      <c r="A30" s="184">
        <v>15</v>
      </c>
      <c r="B30" s="179" t="s">
        <v>253</v>
      </c>
      <c r="C30" s="179" t="s">
        <v>254</v>
      </c>
      <c r="D30" s="179" t="s">
        <v>255</v>
      </c>
      <c r="E30" s="181">
        <v>2</v>
      </c>
      <c r="F30" s="181">
        <v>0</v>
      </c>
      <c r="G30" s="198"/>
      <c r="H30" s="180">
        <v>2.81</v>
      </c>
      <c r="I30" s="179">
        <v>1</v>
      </c>
      <c r="J30" s="190">
        <f t="shared" si="13"/>
        <v>49728.57</v>
      </c>
      <c r="K30" s="190">
        <v>45</v>
      </c>
      <c r="L30" s="190">
        <f t="shared" si="14"/>
        <v>22377.8565</v>
      </c>
      <c r="M30" s="179"/>
      <c r="N30" s="232">
        <f t="shared" ref="N30:N41" si="25">(J30+L30)*M30/100</f>
        <v>0</v>
      </c>
      <c r="O30" s="190">
        <f t="shared" si="15"/>
        <v>72106.4265</v>
      </c>
      <c r="P30" s="190"/>
      <c r="Q30" s="179"/>
      <c r="R30" s="179">
        <f t="shared" si="16"/>
        <v>0</v>
      </c>
      <c r="S30" s="179">
        <v>1</v>
      </c>
      <c r="T30" s="179">
        <f t="shared" si="17"/>
        <v>3539.4</v>
      </c>
      <c r="U30" s="190">
        <v>1</v>
      </c>
      <c r="V30" s="179">
        <f t="shared" si="18"/>
        <v>5309.1</v>
      </c>
      <c r="W30" s="179"/>
      <c r="X30" s="179">
        <f t="shared" si="19"/>
        <v>0</v>
      </c>
      <c r="Y30" s="179"/>
      <c r="Z30" s="179">
        <f t="shared" si="20"/>
        <v>0</v>
      </c>
      <c r="AA30" s="179"/>
      <c r="AB30" s="179">
        <f t="shared" si="21"/>
        <v>0</v>
      </c>
      <c r="AC30" s="179"/>
      <c r="AD30" s="190">
        <f t="shared" si="22"/>
        <v>7210.64265</v>
      </c>
      <c r="AE30" s="232">
        <f t="shared" si="23"/>
        <v>16059.14265</v>
      </c>
      <c r="AF30" s="190">
        <f t="shared" si="24"/>
        <v>88165.56915</v>
      </c>
      <c r="AG30" s="247"/>
    </row>
    <row r="31" ht="25" customHeight="1" spans="1:33">
      <c r="A31" s="184">
        <v>16</v>
      </c>
      <c r="B31" s="179" t="s">
        <v>256</v>
      </c>
      <c r="C31" s="179" t="s">
        <v>254</v>
      </c>
      <c r="D31" s="179" t="s">
        <v>255</v>
      </c>
      <c r="E31" s="181">
        <v>2</v>
      </c>
      <c r="F31" s="181">
        <v>0</v>
      </c>
      <c r="G31" s="198"/>
      <c r="H31" s="180">
        <v>2.81</v>
      </c>
      <c r="I31" s="179">
        <v>1</v>
      </c>
      <c r="J31" s="190">
        <f t="shared" si="13"/>
        <v>49728.57</v>
      </c>
      <c r="K31" s="190">
        <v>45</v>
      </c>
      <c r="L31" s="190">
        <f t="shared" si="14"/>
        <v>22377.8565</v>
      </c>
      <c r="M31" s="179"/>
      <c r="N31" s="232">
        <f t="shared" si="25"/>
        <v>0</v>
      </c>
      <c r="O31" s="190">
        <f t="shared" si="15"/>
        <v>72106.4265</v>
      </c>
      <c r="P31" s="190"/>
      <c r="Q31" s="179"/>
      <c r="R31" s="179">
        <f t="shared" si="16"/>
        <v>0</v>
      </c>
      <c r="S31" s="179">
        <v>1</v>
      </c>
      <c r="T31" s="179">
        <f t="shared" si="17"/>
        <v>3539.4</v>
      </c>
      <c r="U31" s="190">
        <v>1</v>
      </c>
      <c r="V31" s="179">
        <f t="shared" si="18"/>
        <v>5309.1</v>
      </c>
      <c r="W31" s="179"/>
      <c r="X31" s="179">
        <f t="shared" si="19"/>
        <v>0</v>
      </c>
      <c r="Y31" s="179"/>
      <c r="Z31" s="179">
        <f t="shared" si="20"/>
        <v>0</v>
      </c>
      <c r="AA31" s="179"/>
      <c r="AB31" s="179">
        <f t="shared" si="21"/>
        <v>0</v>
      </c>
      <c r="AC31" s="179"/>
      <c r="AD31" s="190">
        <f t="shared" si="22"/>
        <v>7210.64265</v>
      </c>
      <c r="AE31" s="232">
        <f t="shared" si="23"/>
        <v>16059.14265</v>
      </c>
      <c r="AF31" s="190">
        <f t="shared" si="24"/>
        <v>88165.56915</v>
      </c>
      <c r="AG31" s="247"/>
    </row>
    <row r="32" ht="25" customHeight="1" spans="1:33">
      <c r="A32" s="184">
        <v>17</v>
      </c>
      <c r="B32" s="179" t="s">
        <v>257</v>
      </c>
      <c r="C32" s="179" t="s">
        <v>258</v>
      </c>
      <c r="D32" s="179" t="s">
        <v>255</v>
      </c>
      <c r="E32" s="181">
        <v>1</v>
      </c>
      <c r="F32" s="181">
        <v>0</v>
      </c>
      <c r="G32" s="198"/>
      <c r="H32" s="180">
        <v>2.77</v>
      </c>
      <c r="I32" s="179">
        <v>1</v>
      </c>
      <c r="J32" s="190">
        <f t="shared" si="13"/>
        <v>49020.69</v>
      </c>
      <c r="K32" s="190">
        <v>45</v>
      </c>
      <c r="L32" s="190">
        <f t="shared" si="14"/>
        <v>22059.3105</v>
      </c>
      <c r="M32" s="179"/>
      <c r="N32" s="232">
        <f t="shared" si="25"/>
        <v>0</v>
      </c>
      <c r="O32" s="190">
        <f t="shared" si="15"/>
        <v>71080.0005</v>
      </c>
      <c r="P32" s="190"/>
      <c r="Q32" s="179"/>
      <c r="R32" s="179">
        <f t="shared" si="16"/>
        <v>0</v>
      </c>
      <c r="S32" s="179"/>
      <c r="T32" s="179">
        <f t="shared" si="17"/>
        <v>0</v>
      </c>
      <c r="U32" s="190"/>
      <c r="V32" s="179">
        <f t="shared" si="18"/>
        <v>0</v>
      </c>
      <c r="W32" s="179"/>
      <c r="X32" s="179">
        <f t="shared" si="19"/>
        <v>0</v>
      </c>
      <c r="Y32" s="179">
        <v>3</v>
      </c>
      <c r="Z32" s="179">
        <f t="shared" si="20"/>
        <v>3501.47785714286</v>
      </c>
      <c r="AA32" s="179">
        <v>10</v>
      </c>
      <c r="AB32" s="179">
        <f t="shared" si="21"/>
        <v>11671.5928571429</v>
      </c>
      <c r="AC32" s="179"/>
      <c r="AD32" s="190">
        <f t="shared" si="22"/>
        <v>7108.00005</v>
      </c>
      <c r="AE32" s="232">
        <f t="shared" si="23"/>
        <v>22281.0707642857</v>
      </c>
      <c r="AF32" s="190">
        <f t="shared" si="24"/>
        <v>93361.0712642857</v>
      </c>
      <c r="AG32" s="247"/>
    </row>
    <row r="33" ht="25" customHeight="1" spans="1:33">
      <c r="A33" s="184">
        <v>18</v>
      </c>
      <c r="B33" s="191" t="s">
        <v>259</v>
      </c>
      <c r="C33" s="179" t="s">
        <v>258</v>
      </c>
      <c r="D33" s="179" t="s">
        <v>255</v>
      </c>
      <c r="E33" s="181">
        <v>1</v>
      </c>
      <c r="F33" s="181">
        <v>0</v>
      </c>
      <c r="G33" s="198"/>
      <c r="H33" s="180">
        <v>2.77</v>
      </c>
      <c r="I33" s="179">
        <v>1</v>
      </c>
      <c r="J33" s="190">
        <f t="shared" si="13"/>
        <v>49020.69</v>
      </c>
      <c r="K33" s="190">
        <v>45</v>
      </c>
      <c r="L33" s="190">
        <f t="shared" si="14"/>
        <v>22059.3105</v>
      </c>
      <c r="M33" s="179"/>
      <c r="N33" s="232">
        <f t="shared" si="25"/>
        <v>0</v>
      </c>
      <c r="O33" s="190">
        <f t="shared" si="15"/>
        <v>71080.0005</v>
      </c>
      <c r="P33" s="190"/>
      <c r="Q33" s="179"/>
      <c r="R33" s="179">
        <f t="shared" si="16"/>
        <v>0</v>
      </c>
      <c r="S33" s="179"/>
      <c r="T33" s="179">
        <f t="shared" si="17"/>
        <v>0</v>
      </c>
      <c r="U33" s="190"/>
      <c r="V33" s="179">
        <f t="shared" si="18"/>
        <v>0</v>
      </c>
      <c r="W33" s="179"/>
      <c r="X33" s="179">
        <f t="shared" si="19"/>
        <v>0</v>
      </c>
      <c r="Y33" s="179">
        <v>4</v>
      </c>
      <c r="Z33" s="179">
        <f t="shared" si="20"/>
        <v>4668.63714285714</v>
      </c>
      <c r="AA33" s="179">
        <v>10</v>
      </c>
      <c r="AB33" s="179">
        <f t="shared" si="21"/>
        <v>11671.5928571429</v>
      </c>
      <c r="AC33" s="179"/>
      <c r="AD33" s="190">
        <f t="shared" si="22"/>
        <v>7108.00005</v>
      </c>
      <c r="AE33" s="232">
        <f t="shared" si="23"/>
        <v>23448.23005</v>
      </c>
      <c r="AF33" s="190">
        <f t="shared" si="24"/>
        <v>94528.23055</v>
      </c>
      <c r="AG33" s="247"/>
    </row>
    <row r="34" ht="25" customHeight="1" spans="1:33">
      <c r="A34" s="184">
        <v>19</v>
      </c>
      <c r="B34" s="191" t="s">
        <v>260</v>
      </c>
      <c r="C34" s="179" t="s">
        <v>258</v>
      </c>
      <c r="D34" s="179" t="s">
        <v>224</v>
      </c>
      <c r="E34" s="181">
        <v>1</v>
      </c>
      <c r="F34" s="181">
        <v>0</v>
      </c>
      <c r="G34" s="198"/>
      <c r="H34" s="180">
        <v>2.77</v>
      </c>
      <c r="I34" s="179">
        <v>1</v>
      </c>
      <c r="J34" s="190">
        <f t="shared" si="13"/>
        <v>49020.69</v>
      </c>
      <c r="K34" s="190">
        <v>45</v>
      </c>
      <c r="L34" s="190">
        <f t="shared" si="14"/>
        <v>22059.3105</v>
      </c>
      <c r="M34" s="179"/>
      <c r="N34" s="232">
        <f t="shared" si="25"/>
        <v>0</v>
      </c>
      <c r="O34" s="190">
        <f t="shared" si="15"/>
        <v>71080.0005</v>
      </c>
      <c r="P34" s="190"/>
      <c r="Q34" s="179"/>
      <c r="R34" s="179">
        <f t="shared" si="16"/>
        <v>0</v>
      </c>
      <c r="S34" s="179"/>
      <c r="T34" s="179">
        <f t="shared" si="17"/>
        <v>0</v>
      </c>
      <c r="U34" s="190"/>
      <c r="V34" s="179">
        <f t="shared" si="18"/>
        <v>0</v>
      </c>
      <c r="W34" s="179"/>
      <c r="X34" s="179">
        <f t="shared" si="19"/>
        <v>0</v>
      </c>
      <c r="Y34" s="179">
        <v>4</v>
      </c>
      <c r="Z34" s="179">
        <f t="shared" si="20"/>
        <v>4668.63714285714</v>
      </c>
      <c r="AA34" s="179">
        <v>10</v>
      </c>
      <c r="AB34" s="179">
        <f t="shared" si="21"/>
        <v>11671.5928571429</v>
      </c>
      <c r="AC34" s="179"/>
      <c r="AD34" s="190">
        <f t="shared" si="22"/>
        <v>7108.00005</v>
      </c>
      <c r="AE34" s="232">
        <f t="shared" si="23"/>
        <v>23448.23005</v>
      </c>
      <c r="AF34" s="190">
        <f t="shared" si="24"/>
        <v>94528.23055</v>
      </c>
      <c r="AG34" s="247"/>
    </row>
    <row r="35" ht="25" customHeight="1" spans="1:33">
      <c r="A35" s="184">
        <v>20</v>
      </c>
      <c r="B35" s="179" t="s">
        <v>261</v>
      </c>
      <c r="C35" s="179" t="s">
        <v>262</v>
      </c>
      <c r="D35" s="179" t="s">
        <v>255</v>
      </c>
      <c r="E35" s="181">
        <v>1</v>
      </c>
      <c r="F35" s="181">
        <v>0</v>
      </c>
      <c r="G35" s="198"/>
      <c r="H35" s="180">
        <v>2.77</v>
      </c>
      <c r="I35" s="179">
        <v>1</v>
      </c>
      <c r="J35" s="190">
        <f t="shared" si="13"/>
        <v>49020.69</v>
      </c>
      <c r="K35" s="190">
        <v>45</v>
      </c>
      <c r="L35" s="190">
        <f t="shared" si="14"/>
        <v>22059.3105</v>
      </c>
      <c r="M35" s="179"/>
      <c r="N35" s="232">
        <f t="shared" si="25"/>
        <v>0</v>
      </c>
      <c r="O35" s="190">
        <f t="shared" si="15"/>
        <v>71080.0005</v>
      </c>
      <c r="P35" s="190"/>
      <c r="Q35" s="179"/>
      <c r="R35" s="179">
        <f t="shared" si="16"/>
        <v>0</v>
      </c>
      <c r="S35" s="179"/>
      <c r="T35" s="179">
        <f t="shared" si="17"/>
        <v>0</v>
      </c>
      <c r="U35" s="190"/>
      <c r="V35" s="179">
        <f t="shared" si="18"/>
        <v>0</v>
      </c>
      <c r="W35" s="179"/>
      <c r="X35" s="179">
        <f t="shared" si="19"/>
        <v>0</v>
      </c>
      <c r="Y35" s="179">
        <v>0</v>
      </c>
      <c r="Z35" s="179">
        <f t="shared" si="20"/>
        <v>0</v>
      </c>
      <c r="AA35" s="179"/>
      <c r="AB35" s="179">
        <f t="shared" si="21"/>
        <v>0</v>
      </c>
      <c r="AC35" s="179"/>
      <c r="AD35" s="190">
        <f t="shared" si="22"/>
        <v>7108.00005</v>
      </c>
      <c r="AE35" s="232">
        <f t="shared" si="23"/>
        <v>7108.00005</v>
      </c>
      <c r="AF35" s="190">
        <f t="shared" si="24"/>
        <v>78188.00055</v>
      </c>
      <c r="AG35" s="247"/>
    </row>
    <row r="36" ht="27.75" customHeight="1" spans="1:33">
      <c r="A36" s="184">
        <v>21</v>
      </c>
      <c r="B36" s="191" t="s">
        <v>263</v>
      </c>
      <c r="C36" s="179" t="s">
        <v>264</v>
      </c>
      <c r="D36" s="179" t="s">
        <v>265</v>
      </c>
      <c r="E36" s="181">
        <v>2</v>
      </c>
      <c r="F36" s="181">
        <v>0</v>
      </c>
      <c r="G36" s="198"/>
      <c r="H36" s="180">
        <v>2.81</v>
      </c>
      <c r="I36" s="179">
        <v>0.5</v>
      </c>
      <c r="J36" s="190">
        <f t="shared" si="13"/>
        <v>24864.285</v>
      </c>
      <c r="K36" s="190">
        <v>45</v>
      </c>
      <c r="L36" s="190">
        <f t="shared" si="14"/>
        <v>11188.92825</v>
      </c>
      <c r="M36" s="179"/>
      <c r="N36" s="232">
        <f t="shared" si="25"/>
        <v>0</v>
      </c>
      <c r="O36" s="190">
        <f t="shared" si="15"/>
        <v>36053.21325</v>
      </c>
      <c r="P36" s="190"/>
      <c r="Q36" s="179"/>
      <c r="R36" s="179">
        <f t="shared" si="16"/>
        <v>0</v>
      </c>
      <c r="S36" s="179"/>
      <c r="T36" s="179">
        <f t="shared" si="17"/>
        <v>0</v>
      </c>
      <c r="U36" s="190"/>
      <c r="V36" s="179">
        <f t="shared" si="18"/>
        <v>0</v>
      </c>
      <c r="W36" s="179"/>
      <c r="X36" s="179">
        <f t="shared" si="19"/>
        <v>0</v>
      </c>
      <c r="Y36" s="179">
        <v>0</v>
      </c>
      <c r="Z36" s="179">
        <f t="shared" si="20"/>
        <v>0</v>
      </c>
      <c r="AA36" s="179"/>
      <c r="AB36" s="179">
        <f t="shared" si="21"/>
        <v>0</v>
      </c>
      <c r="AC36" s="179"/>
      <c r="AD36" s="190">
        <f t="shared" si="22"/>
        <v>3605.321325</v>
      </c>
      <c r="AE36" s="232">
        <f t="shared" si="23"/>
        <v>3605.321325</v>
      </c>
      <c r="AF36" s="190">
        <f t="shared" si="24"/>
        <v>39658.534575</v>
      </c>
      <c r="AG36" s="247"/>
    </row>
    <row r="37" ht="25" customHeight="1" spans="1:33">
      <c r="A37" s="191">
        <v>22</v>
      </c>
      <c r="B37" s="199" t="s">
        <v>266</v>
      </c>
      <c r="C37" s="191" t="s">
        <v>264</v>
      </c>
      <c r="D37" s="191" t="s">
        <v>255</v>
      </c>
      <c r="E37" s="200">
        <v>2</v>
      </c>
      <c r="F37" s="200">
        <v>0</v>
      </c>
      <c r="G37" s="201"/>
      <c r="H37" s="180">
        <v>2.81</v>
      </c>
      <c r="I37" s="233">
        <v>0.5</v>
      </c>
      <c r="J37" s="190">
        <f t="shared" si="13"/>
        <v>24864.285</v>
      </c>
      <c r="K37" s="190">
        <v>45</v>
      </c>
      <c r="L37" s="190">
        <f t="shared" si="14"/>
        <v>11188.92825</v>
      </c>
      <c r="M37" s="233"/>
      <c r="N37" s="232">
        <f t="shared" si="25"/>
        <v>0</v>
      </c>
      <c r="O37" s="190">
        <f t="shared" si="15"/>
        <v>36053.21325</v>
      </c>
      <c r="P37" s="233"/>
      <c r="Q37" s="233"/>
      <c r="R37" s="179">
        <f t="shared" si="16"/>
        <v>0</v>
      </c>
      <c r="S37" s="233"/>
      <c r="T37" s="179">
        <f t="shared" si="17"/>
        <v>0</v>
      </c>
      <c r="U37" s="233"/>
      <c r="V37" s="179">
        <f t="shared" si="18"/>
        <v>0</v>
      </c>
      <c r="W37" s="233"/>
      <c r="X37" s="179">
        <f t="shared" si="19"/>
        <v>0</v>
      </c>
      <c r="Y37" s="179">
        <v>0</v>
      </c>
      <c r="Z37" s="179">
        <f t="shared" si="20"/>
        <v>0</v>
      </c>
      <c r="AA37" s="233"/>
      <c r="AB37" s="179">
        <f t="shared" si="21"/>
        <v>0</v>
      </c>
      <c r="AC37" s="233"/>
      <c r="AD37" s="190">
        <f t="shared" si="22"/>
        <v>3605.321325</v>
      </c>
      <c r="AE37" s="232">
        <f t="shared" si="23"/>
        <v>3605.321325</v>
      </c>
      <c r="AF37" s="190">
        <f t="shared" si="24"/>
        <v>39658.534575</v>
      </c>
      <c r="AG37" s="247"/>
    </row>
    <row r="38" ht="25" customHeight="1" spans="1:33">
      <c r="A38" s="184">
        <v>23</v>
      </c>
      <c r="B38" s="199" t="s">
        <v>267</v>
      </c>
      <c r="C38" s="199" t="s">
        <v>267</v>
      </c>
      <c r="D38" s="191"/>
      <c r="E38" s="200">
        <v>3</v>
      </c>
      <c r="F38" s="200"/>
      <c r="G38" s="201"/>
      <c r="H38" s="180">
        <v>2.84</v>
      </c>
      <c r="I38" s="233">
        <v>1</v>
      </c>
      <c r="J38" s="190">
        <f t="shared" si="13"/>
        <v>50259.48</v>
      </c>
      <c r="K38" s="190">
        <v>45</v>
      </c>
      <c r="L38" s="190">
        <f t="shared" si="14"/>
        <v>22616.766</v>
      </c>
      <c r="M38" s="233"/>
      <c r="N38" s="232">
        <f t="shared" si="25"/>
        <v>0</v>
      </c>
      <c r="O38" s="190">
        <f t="shared" si="15"/>
        <v>72876.246</v>
      </c>
      <c r="P38" s="233"/>
      <c r="Q38" s="233"/>
      <c r="R38" s="179">
        <f t="shared" si="16"/>
        <v>0</v>
      </c>
      <c r="S38" s="233"/>
      <c r="T38" s="179"/>
      <c r="U38" s="233">
        <v>1</v>
      </c>
      <c r="V38" s="179">
        <f t="shared" si="18"/>
        <v>5309.1</v>
      </c>
      <c r="W38" s="233"/>
      <c r="X38" s="179"/>
      <c r="Y38" s="179">
        <v>3</v>
      </c>
      <c r="Z38" s="179">
        <f t="shared" si="20"/>
        <v>3589.96285714286</v>
      </c>
      <c r="AA38" s="233">
        <v>7</v>
      </c>
      <c r="AB38" s="179">
        <f t="shared" si="21"/>
        <v>8376.58</v>
      </c>
      <c r="AC38" s="233"/>
      <c r="AD38" s="190">
        <f t="shared" si="22"/>
        <v>7287.6246</v>
      </c>
      <c r="AE38" s="232">
        <f t="shared" si="23"/>
        <v>24563.2674571429</v>
      </c>
      <c r="AF38" s="190">
        <f t="shared" si="24"/>
        <v>97439.5134571428</v>
      </c>
      <c r="AG38" s="247"/>
    </row>
    <row r="39" ht="25" customHeight="1" spans="1:33">
      <c r="A39" s="191">
        <v>24</v>
      </c>
      <c r="B39" s="199" t="s">
        <v>267</v>
      </c>
      <c r="C39" s="199" t="s">
        <v>267</v>
      </c>
      <c r="D39" s="191"/>
      <c r="E39" s="200">
        <v>3</v>
      </c>
      <c r="F39" s="200"/>
      <c r="G39" s="201"/>
      <c r="H39" s="180">
        <v>2.84</v>
      </c>
      <c r="I39" s="233">
        <v>1</v>
      </c>
      <c r="J39" s="190">
        <f t="shared" si="13"/>
        <v>50259.48</v>
      </c>
      <c r="K39" s="190">
        <v>45</v>
      </c>
      <c r="L39" s="190">
        <f t="shared" si="14"/>
        <v>22616.766</v>
      </c>
      <c r="M39" s="233"/>
      <c r="N39" s="232">
        <f t="shared" si="25"/>
        <v>0</v>
      </c>
      <c r="O39" s="190">
        <f t="shared" si="15"/>
        <v>72876.246</v>
      </c>
      <c r="P39" s="233"/>
      <c r="Q39" s="233"/>
      <c r="R39" s="179">
        <f t="shared" si="16"/>
        <v>0</v>
      </c>
      <c r="S39" s="233"/>
      <c r="T39" s="179"/>
      <c r="U39" s="233">
        <v>1</v>
      </c>
      <c r="V39" s="179">
        <f t="shared" si="18"/>
        <v>5309.1</v>
      </c>
      <c r="W39" s="233"/>
      <c r="X39" s="179"/>
      <c r="Y39" s="179">
        <v>3</v>
      </c>
      <c r="Z39" s="179">
        <f t="shared" si="20"/>
        <v>3589.96285714286</v>
      </c>
      <c r="AA39" s="233">
        <v>7</v>
      </c>
      <c r="AB39" s="179">
        <f t="shared" si="21"/>
        <v>8376.58</v>
      </c>
      <c r="AC39" s="233"/>
      <c r="AD39" s="190">
        <f t="shared" si="22"/>
        <v>7287.6246</v>
      </c>
      <c r="AE39" s="232">
        <f t="shared" si="23"/>
        <v>24563.2674571429</v>
      </c>
      <c r="AF39" s="190">
        <f t="shared" si="24"/>
        <v>97439.5134571428</v>
      </c>
      <c r="AG39" s="247"/>
    </row>
    <row r="40" ht="25" customHeight="1" spans="1:33">
      <c r="A40" s="184">
        <v>25</v>
      </c>
      <c r="B40" s="199" t="s">
        <v>267</v>
      </c>
      <c r="C40" s="199" t="s">
        <v>267</v>
      </c>
      <c r="D40" s="191"/>
      <c r="E40" s="200">
        <v>3</v>
      </c>
      <c r="F40" s="200"/>
      <c r="G40" s="201"/>
      <c r="H40" s="180">
        <v>2.84</v>
      </c>
      <c r="I40" s="233">
        <v>1</v>
      </c>
      <c r="J40" s="190">
        <f t="shared" si="13"/>
        <v>50259.48</v>
      </c>
      <c r="K40" s="190">
        <v>45</v>
      </c>
      <c r="L40" s="190">
        <f t="shared" si="14"/>
        <v>22616.766</v>
      </c>
      <c r="M40" s="233"/>
      <c r="N40" s="232">
        <f t="shared" si="25"/>
        <v>0</v>
      </c>
      <c r="O40" s="190">
        <f t="shared" si="15"/>
        <v>72876.246</v>
      </c>
      <c r="P40" s="233"/>
      <c r="Q40" s="233"/>
      <c r="R40" s="179">
        <f t="shared" si="16"/>
        <v>0</v>
      </c>
      <c r="S40" s="233"/>
      <c r="T40" s="179"/>
      <c r="U40" s="233">
        <v>1</v>
      </c>
      <c r="V40" s="179">
        <f t="shared" si="18"/>
        <v>5309.1</v>
      </c>
      <c r="W40" s="233"/>
      <c r="X40" s="179"/>
      <c r="Y40" s="179">
        <v>3</v>
      </c>
      <c r="Z40" s="179">
        <f t="shared" si="20"/>
        <v>3589.96285714286</v>
      </c>
      <c r="AA40" s="233">
        <v>7</v>
      </c>
      <c r="AB40" s="179">
        <f t="shared" si="21"/>
        <v>8376.58</v>
      </c>
      <c r="AC40" s="233"/>
      <c r="AD40" s="190">
        <f t="shared" si="22"/>
        <v>7287.6246</v>
      </c>
      <c r="AE40" s="232">
        <f t="shared" si="23"/>
        <v>24563.2674571429</v>
      </c>
      <c r="AF40" s="190">
        <f t="shared" si="24"/>
        <v>97439.5134571428</v>
      </c>
      <c r="AG40" s="247"/>
    </row>
    <row r="41" ht="25" customHeight="1" spans="1:33">
      <c r="A41" s="191">
        <v>26</v>
      </c>
      <c r="B41" s="199" t="s">
        <v>267</v>
      </c>
      <c r="C41" s="199" t="s">
        <v>267</v>
      </c>
      <c r="D41" s="191"/>
      <c r="E41" s="200">
        <v>3</v>
      </c>
      <c r="F41" s="200"/>
      <c r="G41" s="201"/>
      <c r="H41" s="180">
        <v>2.84</v>
      </c>
      <c r="I41" s="233">
        <v>1</v>
      </c>
      <c r="J41" s="190">
        <f t="shared" si="13"/>
        <v>50259.48</v>
      </c>
      <c r="K41" s="190">
        <v>45</v>
      </c>
      <c r="L41" s="190">
        <f t="shared" si="14"/>
        <v>22616.766</v>
      </c>
      <c r="M41" s="233"/>
      <c r="N41" s="232">
        <f t="shared" si="25"/>
        <v>0</v>
      </c>
      <c r="O41" s="190">
        <f t="shared" si="15"/>
        <v>72876.246</v>
      </c>
      <c r="P41" s="233"/>
      <c r="Q41" s="233"/>
      <c r="R41" s="179">
        <f t="shared" si="16"/>
        <v>0</v>
      </c>
      <c r="S41" s="233"/>
      <c r="T41" s="179"/>
      <c r="U41" s="233">
        <v>1</v>
      </c>
      <c r="V41" s="179">
        <f t="shared" si="18"/>
        <v>5309.1</v>
      </c>
      <c r="W41" s="233"/>
      <c r="X41" s="179"/>
      <c r="Y41" s="179">
        <v>2</v>
      </c>
      <c r="Z41" s="179">
        <f t="shared" si="20"/>
        <v>2393.30857142857</v>
      </c>
      <c r="AA41" s="233">
        <v>9</v>
      </c>
      <c r="AB41" s="179">
        <f t="shared" si="21"/>
        <v>10769.8885714286</v>
      </c>
      <c r="AC41" s="233"/>
      <c r="AD41" s="190">
        <f t="shared" si="22"/>
        <v>7287.6246</v>
      </c>
      <c r="AE41" s="232">
        <f t="shared" si="23"/>
        <v>25759.9217428571</v>
      </c>
      <c r="AF41" s="190">
        <f t="shared" si="24"/>
        <v>98636.1677428571</v>
      </c>
      <c r="AG41" s="247"/>
    </row>
    <row r="42" ht="25" customHeight="1" spans="1:33">
      <c r="A42" s="191"/>
      <c r="B42" s="202" t="s">
        <v>268</v>
      </c>
      <c r="C42" s="191"/>
      <c r="D42" s="191"/>
      <c r="E42" s="191"/>
      <c r="F42" s="200"/>
      <c r="G42" s="191"/>
      <c r="H42" s="191"/>
      <c r="I42" s="233">
        <f>SUM(I20:I41)</f>
        <v>20.5</v>
      </c>
      <c r="J42" s="233">
        <f t="shared" ref="J42:AF42" si="26">SUM(J20:J41)</f>
        <v>1282855.53</v>
      </c>
      <c r="K42" s="233">
        <f t="shared" si="26"/>
        <v>1375</v>
      </c>
      <c r="L42" s="233">
        <f t="shared" si="26"/>
        <v>877072.1685</v>
      </c>
      <c r="M42" s="233">
        <f t="shared" si="26"/>
        <v>200</v>
      </c>
      <c r="N42" s="233">
        <f t="shared" si="26"/>
        <v>294986.86875</v>
      </c>
      <c r="O42" s="233">
        <f t="shared" si="26"/>
        <v>2454914.56725</v>
      </c>
      <c r="P42" s="233">
        <f t="shared" si="26"/>
        <v>0</v>
      </c>
      <c r="Q42" s="233">
        <f t="shared" si="26"/>
        <v>1</v>
      </c>
      <c r="R42" s="233">
        <f t="shared" si="26"/>
        <v>3539.4</v>
      </c>
      <c r="S42" s="233">
        <f t="shared" si="26"/>
        <v>2</v>
      </c>
      <c r="T42" s="233">
        <f t="shared" si="26"/>
        <v>7078.8</v>
      </c>
      <c r="U42" s="233">
        <f t="shared" si="26"/>
        <v>6</v>
      </c>
      <c r="V42" s="233">
        <f t="shared" si="26"/>
        <v>31854.6</v>
      </c>
      <c r="W42" s="233">
        <f t="shared" si="26"/>
        <v>0</v>
      </c>
      <c r="X42" s="233">
        <f t="shared" si="26"/>
        <v>0</v>
      </c>
      <c r="Y42" s="233">
        <f t="shared" si="26"/>
        <v>22</v>
      </c>
      <c r="Z42" s="233">
        <f t="shared" si="26"/>
        <v>26001.9492857143</v>
      </c>
      <c r="AA42" s="233">
        <f t="shared" si="26"/>
        <v>60</v>
      </c>
      <c r="AB42" s="233">
        <f t="shared" si="26"/>
        <v>70914.4071428571</v>
      </c>
      <c r="AC42" s="233">
        <f t="shared" si="26"/>
        <v>0</v>
      </c>
      <c r="AD42" s="233">
        <f t="shared" si="26"/>
        <v>245491.456725</v>
      </c>
      <c r="AE42" s="233">
        <f t="shared" si="26"/>
        <v>384880.613153571</v>
      </c>
      <c r="AF42" s="233">
        <f t="shared" si="26"/>
        <v>2839795.18040357</v>
      </c>
      <c r="AG42" s="247"/>
    </row>
    <row r="43" spans="1:32">
      <c r="A43" s="165"/>
      <c r="B43" s="165"/>
      <c r="C43" s="165"/>
      <c r="D43" s="165"/>
      <c r="E43" s="165"/>
      <c r="F43" s="166"/>
      <c r="G43" s="165"/>
      <c r="H43" s="203"/>
      <c r="I43" s="165"/>
      <c r="J43" s="165"/>
      <c r="K43" s="165"/>
      <c r="L43" s="203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</row>
    <row r="44" spans="1:32">
      <c r="A44" s="204"/>
      <c r="B44" s="205"/>
      <c r="C44" s="206" t="s">
        <v>269</v>
      </c>
      <c r="D44" s="206"/>
      <c r="E44" s="206"/>
      <c r="F44" s="207"/>
      <c r="G44" s="207"/>
      <c r="H44" s="208"/>
      <c r="I44" s="206"/>
      <c r="J44" s="206"/>
      <c r="K44" s="206"/>
      <c r="L44" s="208"/>
      <c r="M44" s="206"/>
      <c r="N44" s="206"/>
      <c r="O44" s="206"/>
      <c r="P44" s="206"/>
      <c r="Q44" s="206"/>
      <c r="R44" s="205"/>
      <c r="S44" s="206" t="s">
        <v>270</v>
      </c>
      <c r="T44" s="206"/>
      <c r="U44" s="205"/>
      <c r="V44" s="209"/>
      <c r="W44" s="209" t="s">
        <v>271</v>
      </c>
      <c r="X44" s="209"/>
      <c r="Y44" s="209"/>
      <c r="Z44" s="244"/>
      <c r="AA44" s="205"/>
      <c r="AB44" s="205"/>
      <c r="AC44" s="245"/>
      <c r="AD44" s="205"/>
      <c r="AE44" s="244"/>
      <c r="AF44" s="205"/>
    </row>
    <row r="45" spans="1:32">
      <c r="A45" s="204"/>
      <c r="B45" s="205"/>
      <c r="C45" s="206"/>
      <c r="D45" s="206"/>
      <c r="E45" s="206"/>
      <c r="F45" s="207"/>
      <c r="G45" s="209"/>
      <c r="H45" s="208"/>
      <c r="I45" s="206"/>
      <c r="J45" s="206"/>
      <c r="K45" s="206"/>
      <c r="L45" s="208"/>
      <c r="M45" s="206"/>
      <c r="N45" s="206"/>
      <c r="O45" s="206"/>
      <c r="P45" s="206"/>
      <c r="Q45" s="206"/>
      <c r="R45" s="205"/>
      <c r="S45" s="206"/>
      <c r="T45" s="206"/>
      <c r="U45" s="205"/>
      <c r="V45" s="209"/>
      <c r="W45" s="209"/>
      <c r="X45" s="209"/>
      <c r="Y45" s="209"/>
      <c r="Z45" s="209"/>
      <c r="AA45" s="205"/>
      <c r="AB45" s="205"/>
      <c r="AC45" s="205"/>
      <c r="AD45" s="205"/>
      <c r="AE45" s="205"/>
      <c r="AF45" s="246"/>
    </row>
    <row r="46" spans="1:32">
      <c r="A46" s="204"/>
      <c r="B46" s="205"/>
      <c r="C46" s="209"/>
      <c r="D46" s="209"/>
      <c r="E46" s="209"/>
      <c r="F46" s="207"/>
      <c r="G46" s="207"/>
      <c r="H46" s="208"/>
      <c r="I46" s="206"/>
      <c r="J46" s="206"/>
      <c r="K46" s="206"/>
      <c r="L46" s="208"/>
      <c r="M46" s="206"/>
      <c r="N46" s="206"/>
      <c r="O46" s="206"/>
      <c r="P46" s="206"/>
      <c r="Q46" s="206"/>
      <c r="R46" s="205"/>
      <c r="S46" s="206"/>
      <c r="T46" s="206"/>
      <c r="U46" s="205"/>
      <c r="V46" s="209"/>
      <c r="W46" s="209"/>
      <c r="X46" s="209"/>
      <c r="Y46" s="209"/>
      <c r="Z46" s="209"/>
      <c r="AA46" s="205"/>
      <c r="AB46" s="205"/>
      <c r="AC46" s="205"/>
      <c r="AD46" s="205"/>
      <c r="AE46" s="205"/>
      <c r="AF46" s="205"/>
    </row>
    <row r="47" spans="1:32">
      <c r="A47" s="204"/>
      <c r="B47" s="205"/>
      <c r="C47" s="209"/>
      <c r="D47" s="209"/>
      <c r="E47" s="209"/>
      <c r="F47" s="210"/>
      <c r="G47" s="209"/>
      <c r="H47" s="211"/>
      <c r="I47" s="206"/>
      <c r="J47" s="206"/>
      <c r="K47" s="206"/>
      <c r="L47" s="208"/>
      <c r="M47" s="206"/>
      <c r="N47" s="206"/>
      <c r="O47" s="206"/>
      <c r="P47" s="206"/>
      <c r="Q47" s="206"/>
      <c r="R47" s="205"/>
      <c r="S47" s="206"/>
      <c r="T47" s="206"/>
      <c r="U47" s="205"/>
      <c r="V47" s="209"/>
      <c r="W47" s="209"/>
      <c r="X47" s="209"/>
      <c r="Y47" s="209"/>
      <c r="Z47" s="209"/>
      <c r="AA47" s="205"/>
      <c r="AB47" s="205"/>
      <c r="AC47" s="205"/>
      <c r="AD47" s="205"/>
      <c r="AE47" s="205"/>
      <c r="AF47" s="205"/>
    </row>
    <row r="48" spans="1:32">
      <c r="A48" s="204"/>
      <c r="B48" s="205"/>
      <c r="C48" s="209"/>
      <c r="D48" s="209"/>
      <c r="E48" s="209"/>
      <c r="F48" s="207"/>
      <c r="G48" s="207"/>
      <c r="H48" s="208"/>
      <c r="I48" s="206"/>
      <c r="J48" s="206"/>
      <c r="K48" s="206"/>
      <c r="L48" s="208"/>
      <c r="M48" s="206"/>
      <c r="N48" s="206"/>
      <c r="O48" s="206"/>
      <c r="P48" s="206"/>
      <c r="Q48" s="206"/>
      <c r="R48" s="205"/>
      <c r="S48" s="206"/>
      <c r="T48" s="206"/>
      <c r="U48" s="205"/>
      <c r="V48" s="209"/>
      <c r="W48" s="209"/>
      <c r="X48" s="209"/>
      <c r="Y48" s="209"/>
      <c r="Z48" s="209"/>
      <c r="AA48" s="205"/>
      <c r="AB48" s="205"/>
      <c r="AC48" s="205"/>
      <c r="AD48" s="205"/>
      <c r="AE48" s="205"/>
      <c r="AF48" s="205"/>
    </row>
    <row r="49" spans="1:32">
      <c r="A49" s="212"/>
      <c r="B49" s="213"/>
      <c r="C49" s="213"/>
      <c r="D49" s="213"/>
      <c r="E49" s="213"/>
      <c r="F49" s="214"/>
      <c r="G49" s="213"/>
      <c r="H49" s="215"/>
      <c r="I49" s="213"/>
      <c r="J49" s="213"/>
      <c r="K49" s="213"/>
      <c r="L49" s="215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</row>
    <row r="50" spans="1:32">
      <c r="A50" s="212"/>
      <c r="B50" s="213"/>
      <c r="C50" s="213"/>
      <c r="D50" s="213"/>
      <c r="E50" s="213"/>
      <c r="F50" s="214"/>
      <c r="G50" s="213"/>
      <c r="H50" s="215"/>
      <c r="I50" s="213"/>
      <c r="J50" s="213"/>
      <c r="K50" s="213"/>
      <c r="L50" s="215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</row>
    <row r="51" spans="1:32">
      <c r="A51" s="212"/>
      <c r="B51" s="213"/>
      <c r="C51" s="213"/>
      <c r="D51" s="213"/>
      <c r="E51" s="213"/>
      <c r="F51" s="214"/>
      <c r="G51" s="213"/>
      <c r="H51" s="215"/>
      <c r="I51" s="213"/>
      <c r="J51" s="213"/>
      <c r="K51" s="213"/>
      <c r="L51" s="215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</row>
    <row r="52" spans="1:32">
      <c r="A52" s="212"/>
      <c r="B52" s="213"/>
      <c r="C52" s="213"/>
      <c r="D52" s="213"/>
      <c r="E52" s="213"/>
      <c r="F52" s="214"/>
      <c r="G52" s="213"/>
      <c r="H52" s="215"/>
      <c r="I52" s="213"/>
      <c r="J52" s="213"/>
      <c r="K52" s="213"/>
      <c r="L52" s="215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</row>
    <row r="53" spans="1:32">
      <c r="A53" s="212"/>
      <c r="B53" s="213"/>
      <c r="C53" s="213"/>
      <c r="D53" s="213"/>
      <c r="E53" s="213"/>
      <c r="F53" s="214"/>
      <c r="G53" s="213"/>
      <c r="H53" s="215"/>
      <c r="I53" s="213"/>
      <c r="J53" s="213"/>
      <c r="K53" s="213"/>
      <c r="L53" s="215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</row>
    <row r="54" spans="1:32">
      <c r="A54" s="212"/>
      <c r="B54" s="213"/>
      <c r="C54" s="213"/>
      <c r="D54" s="213"/>
      <c r="E54" s="213"/>
      <c r="F54" s="214"/>
      <c r="G54" s="213"/>
      <c r="H54" s="215"/>
      <c r="I54" s="213"/>
      <c r="J54" s="213"/>
      <c r="K54" s="213"/>
      <c r="L54" s="215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</row>
  </sheetData>
  <mergeCells count="35">
    <mergeCell ref="B3:C3"/>
    <mergeCell ref="E3:M3"/>
    <mergeCell ref="Q3:R3"/>
    <mergeCell ref="O4:U4"/>
    <mergeCell ref="S12:U12"/>
    <mergeCell ref="J15:N15"/>
    <mergeCell ref="E16:F16"/>
    <mergeCell ref="Q16:AE16"/>
    <mergeCell ref="Q17:R17"/>
    <mergeCell ref="S17:T17"/>
    <mergeCell ref="U17:V17"/>
    <mergeCell ref="W17:X17"/>
    <mergeCell ref="Y17:Z17"/>
    <mergeCell ref="AA17:AB17"/>
    <mergeCell ref="AC17:AD17"/>
    <mergeCell ref="F44:G44"/>
    <mergeCell ref="F46:G46"/>
    <mergeCell ref="F48:G48"/>
    <mergeCell ref="S48:T48"/>
    <mergeCell ref="A16:A18"/>
    <mergeCell ref="B16:B18"/>
    <mergeCell ref="C16:C18"/>
    <mergeCell ref="D16:D18"/>
    <mergeCell ref="E17:E18"/>
    <mergeCell ref="F17:F18"/>
    <mergeCell ref="G16:G18"/>
    <mergeCell ref="H16:H18"/>
    <mergeCell ref="I16:I18"/>
    <mergeCell ref="J16:J18"/>
    <mergeCell ref="O16:O18"/>
    <mergeCell ref="AE17:AE18"/>
    <mergeCell ref="AF16:AF18"/>
    <mergeCell ref="M16:N17"/>
    <mergeCell ref="O5:Y6"/>
    <mergeCell ref="K17:L18"/>
  </mergeCells>
  <pageMargins left="0.236220472440945" right="0.236220472440945" top="0.748031496062992" bottom="0.748031496062992" header="0.31496062992126" footer="0.31496062992126"/>
  <pageSetup paperSize="9" scale="44" fitToWidth="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S42"/>
  <sheetViews>
    <sheetView view="pageBreakPreview" zoomScale="50" zoomScaleNormal="60" workbookViewId="0">
      <selection activeCell="AD5" sqref="AD5"/>
    </sheetView>
  </sheetViews>
  <sheetFormatPr defaultColWidth="9.26666666666667" defaultRowHeight="12.75"/>
  <cols>
    <col min="1" max="1" width="41.4555555555556" customWidth="1"/>
    <col min="2" max="2" width="28" customWidth="1"/>
    <col min="4" max="6" width="10.7222222222222"/>
    <col min="12" max="12" width="12.6666666666667" customWidth="1"/>
    <col min="13" max="14" width="10.7222222222222"/>
    <col min="16" max="16" width="10.1777777777778"/>
    <col min="17" max="18" width="10.7222222222222"/>
    <col min="19" max="19" width="10.1777777777778"/>
    <col min="20" max="21" width="10.7222222222222"/>
    <col min="23" max="23" width="13.2666666666667"/>
    <col min="28" max="28" width="9.45555555555556"/>
    <col min="29" max="29" width="11.8111111111111"/>
    <col min="34" max="34" width="14.1777777777778" customWidth="1"/>
    <col min="35" max="36" width="9.45555555555556"/>
    <col min="37" max="38" width="10.1777777777778"/>
    <col min="39" max="40" width="9.45555555555556"/>
    <col min="41" max="42" width="10.1777777777778"/>
    <col min="59" max="59" width="3.72222222222222" customWidth="1"/>
    <col min="60" max="60" width="13.1777777777778"/>
  </cols>
  <sheetData>
    <row r="1" ht="13.5"/>
    <row r="2" s="57" customFormat="1" ht="24" spans="1:60">
      <c r="A2" s="60" t="s">
        <v>272</v>
      </c>
      <c r="B2" s="61" t="s">
        <v>273</v>
      </c>
      <c r="C2" s="61" t="s">
        <v>274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112"/>
      <c r="Z2" s="112"/>
      <c r="AA2" s="62"/>
      <c r="AB2" s="62"/>
      <c r="AC2" s="62"/>
      <c r="AD2" s="62"/>
      <c r="AE2" s="62"/>
      <c r="AF2" s="62"/>
      <c r="AG2" s="62"/>
      <c r="AH2" s="62"/>
      <c r="AI2" s="117" t="s">
        <v>275</v>
      </c>
      <c r="AJ2" s="118"/>
      <c r="AK2" s="118"/>
      <c r="AL2" s="118"/>
      <c r="AM2" s="118"/>
      <c r="AN2" s="118"/>
      <c r="AO2" s="118"/>
      <c r="AP2" s="118"/>
      <c r="AQ2" s="118"/>
      <c r="AR2" s="133"/>
      <c r="AS2" s="62"/>
      <c r="AT2" s="134"/>
      <c r="AU2" s="62"/>
      <c r="AV2" s="62"/>
      <c r="AW2" s="134"/>
      <c r="AX2" s="62"/>
      <c r="AY2" s="62"/>
      <c r="AZ2" s="62"/>
      <c r="BA2" s="62" t="s">
        <v>276</v>
      </c>
      <c r="BB2" s="62"/>
      <c r="BC2" s="62"/>
      <c r="BD2" s="62"/>
      <c r="BE2" s="62"/>
      <c r="BF2" s="62"/>
      <c r="BG2" s="135"/>
      <c r="BH2" s="135"/>
    </row>
    <row r="3" s="57" customFormat="1" ht="24" spans="1:60">
      <c r="A3" s="63"/>
      <c r="B3" s="64"/>
      <c r="C3" s="64"/>
      <c r="D3" s="65" t="s">
        <v>277</v>
      </c>
      <c r="E3" s="66" t="s">
        <v>278</v>
      </c>
      <c r="F3" s="65" t="s">
        <v>279</v>
      </c>
      <c r="G3" s="66" t="s">
        <v>280</v>
      </c>
      <c r="H3" s="65" t="s">
        <v>281</v>
      </c>
      <c r="I3" s="66" t="s">
        <v>282</v>
      </c>
      <c r="J3" s="65" t="s">
        <v>283</v>
      </c>
      <c r="K3" s="66" t="s">
        <v>284</v>
      </c>
      <c r="L3" s="101" t="s">
        <v>285</v>
      </c>
      <c r="M3" s="102" t="s">
        <v>286</v>
      </c>
      <c r="N3" s="65" t="s">
        <v>287</v>
      </c>
      <c r="O3" s="102" t="s">
        <v>288</v>
      </c>
      <c r="P3" s="103" t="s">
        <v>289</v>
      </c>
      <c r="Q3" s="107" t="s">
        <v>290</v>
      </c>
      <c r="R3" s="65" t="s">
        <v>291</v>
      </c>
      <c r="S3" s="65" t="s">
        <v>292</v>
      </c>
      <c r="T3" s="102" t="s">
        <v>293</v>
      </c>
      <c r="U3" s="65" t="s">
        <v>294</v>
      </c>
      <c r="V3" s="102" t="s">
        <v>295</v>
      </c>
      <c r="W3" s="101" t="s">
        <v>296</v>
      </c>
      <c r="X3" s="65" t="s">
        <v>297</v>
      </c>
      <c r="Y3" s="66" t="s">
        <v>298</v>
      </c>
      <c r="Z3" s="65" t="s">
        <v>299</v>
      </c>
      <c r="AA3" s="102" t="s">
        <v>300</v>
      </c>
      <c r="AB3" s="101" t="s">
        <v>301</v>
      </c>
      <c r="AC3" s="101" t="s">
        <v>302</v>
      </c>
      <c r="AD3" s="102" t="s">
        <v>278</v>
      </c>
      <c r="AE3" s="102" t="s">
        <v>280</v>
      </c>
      <c r="AF3" s="102" t="s">
        <v>282</v>
      </c>
      <c r="AG3" s="102" t="s">
        <v>284</v>
      </c>
      <c r="AH3" s="101" t="s">
        <v>285</v>
      </c>
      <c r="AI3" s="102" t="s">
        <v>286</v>
      </c>
      <c r="AJ3" s="119" t="s">
        <v>287</v>
      </c>
      <c r="AK3" s="119" t="s">
        <v>289</v>
      </c>
      <c r="AL3" s="102" t="s">
        <v>288</v>
      </c>
      <c r="AM3" s="102" t="s">
        <v>290</v>
      </c>
      <c r="AN3" s="119" t="s">
        <v>291</v>
      </c>
      <c r="AO3" s="119" t="s">
        <v>292</v>
      </c>
      <c r="AP3" s="102" t="s">
        <v>293</v>
      </c>
      <c r="AQ3" s="119" t="s">
        <v>294</v>
      </c>
      <c r="AR3" s="102" t="s">
        <v>295</v>
      </c>
      <c r="AS3" s="101" t="s">
        <v>296</v>
      </c>
      <c r="AT3" s="65" t="s">
        <v>297</v>
      </c>
      <c r="AU3" s="102" t="s">
        <v>298</v>
      </c>
      <c r="AV3" s="102" t="s">
        <v>303</v>
      </c>
      <c r="AW3" s="65" t="s">
        <v>299</v>
      </c>
      <c r="AX3" s="101" t="s">
        <v>301</v>
      </c>
      <c r="AY3" s="101" t="s">
        <v>302</v>
      </c>
      <c r="AZ3" s="102" t="s">
        <v>280</v>
      </c>
      <c r="BA3" s="102" t="s">
        <v>282</v>
      </c>
      <c r="BB3" s="102" t="s">
        <v>284</v>
      </c>
      <c r="BC3" s="101" t="s">
        <v>285</v>
      </c>
      <c r="BD3" s="102" t="s">
        <v>298</v>
      </c>
      <c r="BE3" s="102" t="s">
        <v>303</v>
      </c>
      <c r="BF3" s="101" t="s">
        <v>296</v>
      </c>
      <c r="BG3" s="101" t="s">
        <v>302</v>
      </c>
      <c r="BH3" s="136" t="s">
        <v>302</v>
      </c>
    </row>
    <row r="4" s="57" customFormat="1" ht="31" customHeight="1" spans="1:60">
      <c r="A4" s="67" t="s">
        <v>304</v>
      </c>
      <c r="B4" s="68" t="s">
        <v>305</v>
      </c>
      <c r="C4" s="69">
        <v>1</v>
      </c>
      <c r="D4" s="70">
        <v>18</v>
      </c>
      <c r="E4" s="71"/>
      <c r="F4" s="70"/>
      <c r="G4" s="71"/>
      <c r="H4" s="70"/>
      <c r="I4" s="71"/>
      <c r="J4" s="70"/>
      <c r="K4" s="71"/>
      <c r="L4" s="104">
        <f t="shared" ref="L4:L16" si="0">SUM(D4:K4)</f>
        <v>18</v>
      </c>
      <c r="M4" s="104"/>
      <c r="N4" s="105"/>
      <c r="O4" s="71"/>
      <c r="P4" s="70"/>
      <c r="Q4" s="71"/>
      <c r="R4" s="70"/>
      <c r="S4" s="70"/>
      <c r="T4" s="71"/>
      <c r="U4" s="70"/>
      <c r="V4" s="71"/>
      <c r="W4" s="104">
        <f t="shared" ref="W4:W16" si="1">SUM(M4:V4)</f>
        <v>0</v>
      </c>
      <c r="X4" s="105"/>
      <c r="Y4" s="108"/>
      <c r="Z4" s="70"/>
      <c r="AA4" s="71"/>
      <c r="AB4" s="104">
        <f t="shared" ref="AB4:AB16" si="2">SUM(X4:AA4)</f>
        <v>0</v>
      </c>
      <c r="AC4" s="113">
        <f t="shared" ref="AC4:AC16" si="3">SUM(L4,W4,AB4)</f>
        <v>18</v>
      </c>
      <c r="AD4" s="71"/>
      <c r="AE4" s="71"/>
      <c r="AF4" s="71"/>
      <c r="AG4" s="71"/>
      <c r="AH4" s="120">
        <f t="shared" ref="AH4:AH12" si="4">SUM(AE4:AG4)</f>
        <v>0</v>
      </c>
      <c r="AI4" s="121"/>
      <c r="AJ4" s="122"/>
      <c r="AK4" s="123"/>
      <c r="AL4" s="71"/>
      <c r="AM4" s="71"/>
      <c r="AN4" s="123"/>
      <c r="AO4" s="123"/>
      <c r="AP4" s="71"/>
      <c r="AQ4" s="123"/>
      <c r="AR4" s="71"/>
      <c r="AS4" s="104">
        <f t="shared" ref="AS4:AS16" si="5">SUM(AI4:AR4)</f>
        <v>0</v>
      </c>
      <c r="AT4" s="105"/>
      <c r="AU4" s="104"/>
      <c r="AV4" s="71"/>
      <c r="AW4" s="70"/>
      <c r="AX4" s="104">
        <f t="shared" ref="AX4:AX16" si="6">SUM(AT4:AV4)</f>
        <v>0</v>
      </c>
      <c r="AY4" s="104">
        <f t="shared" ref="AY4:AY16" si="7">SUM(AH4,AS4,AX4)</f>
        <v>0</v>
      </c>
      <c r="AZ4" s="104"/>
      <c r="BA4" s="71"/>
      <c r="BB4" s="71"/>
      <c r="BC4" s="104">
        <f t="shared" ref="BC4:BC16" si="8">SUM(AZ4:BB4)</f>
        <v>0</v>
      </c>
      <c r="BD4" s="104"/>
      <c r="BE4" s="104"/>
      <c r="BF4" s="137">
        <f t="shared" ref="BF4:BF16" si="9">SUM(BD4:BE4)</f>
        <v>0</v>
      </c>
      <c r="BG4" s="137"/>
      <c r="BH4" s="138">
        <f t="shared" ref="BH4:BH11" si="10">BI5+SUM(AC4,AY4,BC4,BF4)</f>
        <v>18</v>
      </c>
    </row>
    <row r="5" s="57" customFormat="1" ht="35.15" customHeight="1" spans="1:60">
      <c r="A5" s="72" t="s">
        <v>118</v>
      </c>
      <c r="B5" s="68" t="s">
        <v>306</v>
      </c>
      <c r="C5" s="69"/>
      <c r="D5" s="70"/>
      <c r="E5" s="71">
        <v>18</v>
      </c>
      <c r="F5" s="70"/>
      <c r="G5" s="71"/>
      <c r="H5" s="70"/>
      <c r="I5" s="71"/>
      <c r="J5" s="106"/>
      <c r="K5" s="71"/>
      <c r="L5" s="104">
        <f t="shared" si="0"/>
        <v>18</v>
      </c>
      <c r="M5" s="107"/>
      <c r="N5" s="105"/>
      <c r="O5" s="71"/>
      <c r="P5" s="70"/>
      <c r="Q5" s="71"/>
      <c r="R5" s="70"/>
      <c r="S5" s="70"/>
      <c r="T5" s="71"/>
      <c r="U5" s="70"/>
      <c r="V5" s="71"/>
      <c r="W5" s="104">
        <f t="shared" si="1"/>
        <v>0</v>
      </c>
      <c r="X5" s="105"/>
      <c r="Y5" s="108"/>
      <c r="Z5" s="70"/>
      <c r="AA5" s="71"/>
      <c r="AB5" s="104">
        <f t="shared" si="2"/>
        <v>0</v>
      </c>
      <c r="AC5" s="113">
        <f t="shared" si="3"/>
        <v>18</v>
      </c>
      <c r="AD5" s="71">
        <v>1</v>
      </c>
      <c r="AE5" s="71"/>
      <c r="AF5" s="71"/>
      <c r="AG5" s="71"/>
      <c r="AH5" s="120">
        <f>SUM(AD5:AG5)</f>
        <v>1</v>
      </c>
      <c r="AI5" s="121"/>
      <c r="AJ5" s="122"/>
      <c r="AK5" s="123"/>
      <c r="AL5" s="71"/>
      <c r="AM5" s="71"/>
      <c r="AN5" s="123"/>
      <c r="AO5" s="123"/>
      <c r="AP5" s="71"/>
      <c r="AQ5" s="123"/>
      <c r="AR5" s="71"/>
      <c r="AS5" s="104">
        <f t="shared" si="5"/>
        <v>0</v>
      </c>
      <c r="AT5" s="105"/>
      <c r="AU5" s="104"/>
      <c r="AV5" s="71"/>
      <c r="AW5" s="70"/>
      <c r="AX5" s="104">
        <f t="shared" si="6"/>
        <v>0</v>
      </c>
      <c r="AY5" s="104">
        <f t="shared" si="7"/>
        <v>1</v>
      </c>
      <c r="AZ5" s="104"/>
      <c r="BA5" s="71"/>
      <c r="BB5" s="71"/>
      <c r="BC5" s="104">
        <f t="shared" si="8"/>
        <v>0</v>
      </c>
      <c r="BD5" s="104"/>
      <c r="BE5" s="104"/>
      <c r="BF5" s="137">
        <f t="shared" si="9"/>
        <v>0</v>
      </c>
      <c r="BG5" s="137"/>
      <c r="BH5" s="138">
        <f t="shared" si="10"/>
        <v>19</v>
      </c>
    </row>
    <row r="6" s="57" customFormat="1" ht="32.15" customHeight="1" spans="1:60">
      <c r="A6" s="72" t="s">
        <v>307</v>
      </c>
      <c r="B6" s="68" t="s">
        <v>305</v>
      </c>
      <c r="C6" s="69"/>
      <c r="D6" s="70"/>
      <c r="E6" s="71"/>
      <c r="F6" s="70">
        <v>18</v>
      </c>
      <c r="G6" s="71"/>
      <c r="H6" s="70"/>
      <c r="I6" s="71"/>
      <c r="J6" s="70"/>
      <c r="K6" s="71"/>
      <c r="L6" s="104">
        <f t="shared" si="0"/>
        <v>18</v>
      </c>
      <c r="M6" s="104"/>
      <c r="N6" s="105"/>
      <c r="O6" s="71"/>
      <c r="P6" s="70"/>
      <c r="Q6" s="71"/>
      <c r="R6" s="70"/>
      <c r="S6" s="70"/>
      <c r="T6" s="71"/>
      <c r="U6" s="70"/>
      <c r="V6" s="71"/>
      <c r="W6" s="104">
        <f t="shared" si="1"/>
        <v>0</v>
      </c>
      <c r="X6" s="105"/>
      <c r="Y6" s="108"/>
      <c r="Z6" s="70"/>
      <c r="AA6" s="71"/>
      <c r="AB6" s="104">
        <f t="shared" si="2"/>
        <v>0</v>
      </c>
      <c r="AC6" s="113">
        <f t="shared" si="3"/>
        <v>18</v>
      </c>
      <c r="AD6" s="71"/>
      <c r="AE6" s="71"/>
      <c r="AF6" s="71"/>
      <c r="AG6" s="71"/>
      <c r="AH6" s="120">
        <f t="shared" si="4"/>
        <v>0</v>
      </c>
      <c r="AI6" s="121"/>
      <c r="AJ6" s="122"/>
      <c r="AK6" s="123"/>
      <c r="AL6" s="71"/>
      <c r="AM6" s="71"/>
      <c r="AN6" s="123"/>
      <c r="AO6" s="123"/>
      <c r="AP6" s="71"/>
      <c r="AQ6" s="123"/>
      <c r="AR6" s="71"/>
      <c r="AS6" s="104">
        <f t="shared" si="5"/>
        <v>0</v>
      </c>
      <c r="AT6" s="105"/>
      <c r="AU6" s="104"/>
      <c r="AV6" s="71"/>
      <c r="AW6" s="70"/>
      <c r="AX6" s="104">
        <f t="shared" si="6"/>
        <v>0</v>
      </c>
      <c r="AY6" s="104">
        <f t="shared" si="7"/>
        <v>0</v>
      </c>
      <c r="AZ6" s="104"/>
      <c r="BA6" s="71"/>
      <c r="BB6" s="71"/>
      <c r="BC6" s="104">
        <f t="shared" si="8"/>
        <v>0</v>
      </c>
      <c r="BD6" s="104"/>
      <c r="BE6" s="104"/>
      <c r="BF6" s="137">
        <f t="shared" si="9"/>
        <v>0</v>
      </c>
      <c r="BG6" s="137"/>
      <c r="BH6" s="138">
        <f t="shared" si="10"/>
        <v>18</v>
      </c>
    </row>
    <row r="7" s="57" customFormat="1" ht="32.15" customHeight="1" spans="1:60">
      <c r="A7" s="72" t="s">
        <v>308</v>
      </c>
      <c r="B7" s="68" t="s">
        <v>305</v>
      </c>
      <c r="C7" s="69"/>
      <c r="D7" s="70"/>
      <c r="E7" s="71"/>
      <c r="F7" s="70"/>
      <c r="G7" s="71">
        <v>15</v>
      </c>
      <c r="H7" s="70"/>
      <c r="I7" s="71"/>
      <c r="J7" s="70"/>
      <c r="K7" s="71"/>
      <c r="L7" s="104">
        <f t="shared" si="0"/>
        <v>15</v>
      </c>
      <c r="M7" s="104"/>
      <c r="N7" s="105"/>
      <c r="O7" s="71"/>
      <c r="P7" s="70"/>
      <c r="Q7" s="71"/>
      <c r="R7" s="70"/>
      <c r="S7" s="70"/>
      <c r="T7" s="71"/>
      <c r="U7" s="70"/>
      <c r="V7" s="71"/>
      <c r="W7" s="104">
        <f t="shared" si="1"/>
        <v>0</v>
      </c>
      <c r="X7" s="105"/>
      <c r="Y7" s="108"/>
      <c r="Z7" s="70"/>
      <c r="AA7" s="71"/>
      <c r="AB7" s="104">
        <f t="shared" si="2"/>
        <v>0</v>
      </c>
      <c r="AC7" s="113">
        <f t="shared" si="3"/>
        <v>15</v>
      </c>
      <c r="AD7" s="71"/>
      <c r="AE7" s="71">
        <v>1</v>
      </c>
      <c r="AF7" s="71"/>
      <c r="AG7" s="71"/>
      <c r="AH7" s="120">
        <f t="shared" si="4"/>
        <v>1</v>
      </c>
      <c r="AI7" s="121"/>
      <c r="AJ7" s="122"/>
      <c r="AK7" s="123"/>
      <c r="AL7" s="71"/>
      <c r="AM7" s="71"/>
      <c r="AN7" s="123"/>
      <c r="AO7" s="123"/>
      <c r="AP7" s="71"/>
      <c r="AQ7" s="123"/>
      <c r="AR7" s="71"/>
      <c r="AS7" s="104">
        <f t="shared" si="5"/>
        <v>0</v>
      </c>
      <c r="AT7" s="105"/>
      <c r="AU7" s="104"/>
      <c r="AV7" s="71"/>
      <c r="AW7" s="70"/>
      <c r="AX7" s="104">
        <f t="shared" si="6"/>
        <v>0</v>
      </c>
      <c r="AY7" s="104">
        <f t="shared" si="7"/>
        <v>1</v>
      </c>
      <c r="AZ7" s="104"/>
      <c r="BA7" s="71"/>
      <c r="BB7" s="71"/>
      <c r="BC7" s="104">
        <f t="shared" si="8"/>
        <v>0</v>
      </c>
      <c r="BD7" s="104"/>
      <c r="BE7" s="104"/>
      <c r="BF7" s="137">
        <f t="shared" si="9"/>
        <v>0</v>
      </c>
      <c r="BG7" s="137"/>
      <c r="BH7" s="138">
        <f t="shared" si="10"/>
        <v>16</v>
      </c>
    </row>
    <row r="8" s="57" customFormat="1" ht="33" customHeight="1" spans="1:60">
      <c r="A8" s="72" t="s">
        <v>161</v>
      </c>
      <c r="B8" s="68" t="s">
        <v>309</v>
      </c>
      <c r="C8" s="69"/>
      <c r="D8" s="70"/>
      <c r="E8" s="71">
        <v>1</v>
      </c>
      <c r="F8" s="70"/>
      <c r="G8" s="71">
        <v>1</v>
      </c>
      <c r="H8" s="70">
        <v>17</v>
      </c>
      <c r="I8" s="71">
        <v>1</v>
      </c>
      <c r="J8" s="70"/>
      <c r="K8" s="71">
        <v>1</v>
      </c>
      <c r="L8" s="104">
        <f t="shared" si="0"/>
        <v>21</v>
      </c>
      <c r="M8" s="107">
        <v>1</v>
      </c>
      <c r="N8" s="103"/>
      <c r="O8" s="71"/>
      <c r="P8" s="70"/>
      <c r="Q8" s="71"/>
      <c r="R8" s="70"/>
      <c r="S8" s="70"/>
      <c r="T8" s="71"/>
      <c r="U8" s="70"/>
      <c r="V8" s="71"/>
      <c r="W8" s="104">
        <f t="shared" si="1"/>
        <v>1</v>
      </c>
      <c r="X8" s="105"/>
      <c r="Y8" s="108"/>
      <c r="Z8" s="70"/>
      <c r="AA8" s="71"/>
      <c r="AB8" s="104">
        <f t="shared" si="2"/>
        <v>0</v>
      </c>
      <c r="AC8" s="113">
        <f t="shared" si="3"/>
        <v>22</v>
      </c>
      <c r="AD8" s="71"/>
      <c r="AE8" s="71"/>
      <c r="AF8" s="71"/>
      <c r="AG8" s="71"/>
      <c r="AH8" s="120">
        <f t="shared" si="4"/>
        <v>0</v>
      </c>
      <c r="AI8" s="121"/>
      <c r="AJ8" s="122"/>
      <c r="AK8" s="123"/>
      <c r="AL8" s="71"/>
      <c r="AM8" s="71"/>
      <c r="AN8" s="123"/>
      <c r="AO8" s="123"/>
      <c r="AP8" s="71"/>
      <c r="AQ8" s="123"/>
      <c r="AR8" s="71"/>
      <c r="AS8" s="104">
        <f t="shared" si="5"/>
        <v>0</v>
      </c>
      <c r="AT8" s="105"/>
      <c r="AU8" s="104"/>
      <c r="AV8" s="71"/>
      <c r="AW8" s="70"/>
      <c r="AX8" s="104">
        <f t="shared" si="6"/>
        <v>0</v>
      </c>
      <c r="AY8" s="104">
        <f t="shared" si="7"/>
        <v>0</v>
      </c>
      <c r="AZ8" s="104"/>
      <c r="BA8" s="71"/>
      <c r="BB8" s="71"/>
      <c r="BC8" s="104">
        <f t="shared" si="8"/>
        <v>0</v>
      </c>
      <c r="BD8" s="104"/>
      <c r="BE8" s="104"/>
      <c r="BF8" s="137">
        <f t="shared" si="9"/>
        <v>0</v>
      </c>
      <c r="BG8" s="137"/>
      <c r="BH8" s="138">
        <f t="shared" si="10"/>
        <v>22</v>
      </c>
    </row>
    <row r="9" s="57" customFormat="1" ht="33" customHeight="1" spans="1:60">
      <c r="A9" s="72" t="s">
        <v>310</v>
      </c>
      <c r="B9" s="68" t="s">
        <v>305</v>
      </c>
      <c r="C9" s="69"/>
      <c r="D9" s="70"/>
      <c r="E9" s="71"/>
      <c r="F9" s="70"/>
      <c r="G9" s="71"/>
      <c r="H9" s="70"/>
      <c r="I9" s="71">
        <v>17</v>
      </c>
      <c r="J9" s="70"/>
      <c r="K9" s="71">
        <v>5</v>
      </c>
      <c r="L9" s="104">
        <f t="shared" si="0"/>
        <v>22</v>
      </c>
      <c r="M9" s="107"/>
      <c r="N9" s="103"/>
      <c r="O9" s="71"/>
      <c r="P9" s="70"/>
      <c r="Q9" s="71"/>
      <c r="R9" s="70"/>
      <c r="S9" s="70"/>
      <c r="T9" s="71"/>
      <c r="U9" s="70"/>
      <c r="V9" s="71"/>
      <c r="W9" s="104">
        <f t="shared" si="1"/>
        <v>0</v>
      </c>
      <c r="X9" s="105"/>
      <c r="Y9" s="108"/>
      <c r="Z9" s="70"/>
      <c r="AA9" s="71"/>
      <c r="AB9" s="104">
        <f t="shared" si="2"/>
        <v>0</v>
      </c>
      <c r="AC9" s="113">
        <f t="shared" si="3"/>
        <v>22</v>
      </c>
      <c r="AD9" s="71"/>
      <c r="AE9" s="71"/>
      <c r="AF9" s="71">
        <v>1</v>
      </c>
      <c r="AG9" s="71"/>
      <c r="AH9" s="120">
        <f t="shared" si="4"/>
        <v>1</v>
      </c>
      <c r="AI9" s="121"/>
      <c r="AJ9" s="122"/>
      <c r="AK9" s="123"/>
      <c r="AL9" s="71"/>
      <c r="AM9" s="71"/>
      <c r="AN9" s="123"/>
      <c r="AO9" s="123"/>
      <c r="AP9" s="71"/>
      <c r="AQ9" s="123"/>
      <c r="AR9" s="71"/>
      <c r="AS9" s="104">
        <f t="shared" si="5"/>
        <v>0</v>
      </c>
      <c r="AT9" s="105"/>
      <c r="AU9" s="104"/>
      <c r="AV9" s="71"/>
      <c r="AW9" s="70"/>
      <c r="AX9" s="104">
        <f t="shared" si="6"/>
        <v>0</v>
      </c>
      <c r="AY9" s="104">
        <f t="shared" si="7"/>
        <v>1</v>
      </c>
      <c r="AZ9" s="104"/>
      <c r="BA9" s="71"/>
      <c r="BB9" s="71"/>
      <c r="BC9" s="104">
        <f t="shared" si="8"/>
        <v>0</v>
      </c>
      <c r="BD9" s="104"/>
      <c r="BE9" s="104"/>
      <c r="BF9" s="137">
        <f t="shared" si="9"/>
        <v>0</v>
      </c>
      <c r="BG9" s="137"/>
      <c r="BH9" s="138">
        <f t="shared" si="10"/>
        <v>23</v>
      </c>
    </row>
    <row r="10" s="57" customFormat="1" ht="30" customHeight="1" spans="1:60">
      <c r="A10" s="72" t="s">
        <v>311</v>
      </c>
      <c r="B10" s="68" t="s">
        <v>305</v>
      </c>
      <c r="C10" s="69"/>
      <c r="D10" s="70"/>
      <c r="E10" s="71"/>
      <c r="F10" s="70"/>
      <c r="G10" s="71"/>
      <c r="H10" s="70"/>
      <c r="I10" s="71"/>
      <c r="J10" s="70">
        <v>17</v>
      </c>
      <c r="K10" s="71"/>
      <c r="L10" s="104">
        <f t="shared" si="0"/>
        <v>17</v>
      </c>
      <c r="M10" s="107"/>
      <c r="N10" s="103"/>
      <c r="O10" s="71"/>
      <c r="P10" s="70"/>
      <c r="Q10" s="71"/>
      <c r="R10" s="70"/>
      <c r="S10" s="70"/>
      <c r="T10" s="71"/>
      <c r="U10" s="70"/>
      <c r="V10" s="71"/>
      <c r="W10" s="104">
        <f t="shared" si="1"/>
        <v>0</v>
      </c>
      <c r="X10" s="105"/>
      <c r="Y10" s="108"/>
      <c r="Z10" s="70"/>
      <c r="AA10" s="71"/>
      <c r="AB10" s="104">
        <f t="shared" si="2"/>
        <v>0</v>
      </c>
      <c r="AC10" s="113">
        <f t="shared" si="3"/>
        <v>17</v>
      </c>
      <c r="AD10" s="71"/>
      <c r="AE10" s="71"/>
      <c r="AF10" s="71"/>
      <c r="AG10" s="71"/>
      <c r="AH10" s="120">
        <f t="shared" si="4"/>
        <v>0</v>
      </c>
      <c r="AI10" s="121"/>
      <c r="AJ10" s="122"/>
      <c r="AK10" s="123"/>
      <c r="AL10" s="71"/>
      <c r="AM10" s="71"/>
      <c r="AN10" s="123"/>
      <c r="AO10" s="123"/>
      <c r="AP10" s="71"/>
      <c r="AQ10" s="123"/>
      <c r="AR10" s="71"/>
      <c r="AS10" s="104">
        <f t="shared" si="5"/>
        <v>0</v>
      </c>
      <c r="AT10" s="105"/>
      <c r="AU10" s="104"/>
      <c r="AV10" s="71"/>
      <c r="AW10" s="70"/>
      <c r="AX10" s="104">
        <f t="shared" si="6"/>
        <v>0</v>
      </c>
      <c r="AY10" s="104">
        <f t="shared" si="7"/>
        <v>0</v>
      </c>
      <c r="AZ10" s="104"/>
      <c r="BA10" s="71"/>
      <c r="BB10" s="71"/>
      <c r="BC10" s="104">
        <f t="shared" si="8"/>
        <v>0</v>
      </c>
      <c r="BD10" s="104"/>
      <c r="BE10" s="104"/>
      <c r="BF10" s="137">
        <f t="shared" si="9"/>
        <v>0</v>
      </c>
      <c r="BG10" s="137"/>
      <c r="BH10" s="138">
        <f t="shared" si="10"/>
        <v>17</v>
      </c>
    </row>
    <row r="11" s="57" customFormat="1" ht="35.15" customHeight="1" spans="1:60">
      <c r="A11" s="72" t="s">
        <v>312</v>
      </c>
      <c r="B11" s="68" t="s">
        <v>313</v>
      </c>
      <c r="C11" s="69"/>
      <c r="D11" s="70"/>
      <c r="E11" s="71"/>
      <c r="F11" s="70"/>
      <c r="G11" s="71"/>
      <c r="H11" s="73">
        <v>4</v>
      </c>
      <c r="I11" s="71"/>
      <c r="J11" s="70">
        <v>2</v>
      </c>
      <c r="K11" s="71"/>
      <c r="L11" s="104">
        <f t="shared" si="0"/>
        <v>6</v>
      </c>
      <c r="M11" s="107"/>
      <c r="N11" s="103">
        <v>3</v>
      </c>
      <c r="O11" s="71"/>
      <c r="P11" s="70">
        <v>1.5</v>
      </c>
      <c r="Q11" s="71"/>
      <c r="R11" s="70">
        <v>3</v>
      </c>
      <c r="S11" s="70">
        <v>1.5</v>
      </c>
      <c r="T11" s="71"/>
      <c r="U11" s="70">
        <v>3</v>
      </c>
      <c r="V11" s="71"/>
      <c r="W11" s="104">
        <f t="shared" si="1"/>
        <v>12</v>
      </c>
      <c r="X11" s="103">
        <v>3</v>
      </c>
      <c r="Y11" s="109"/>
      <c r="Z11" s="70">
        <v>3</v>
      </c>
      <c r="AA11" s="71"/>
      <c r="AB11" s="104">
        <f t="shared" si="2"/>
        <v>6</v>
      </c>
      <c r="AC11" s="114">
        <f t="shared" si="3"/>
        <v>24</v>
      </c>
      <c r="AD11" s="71"/>
      <c r="AE11" s="71"/>
      <c r="AF11" s="71"/>
      <c r="AG11" s="71"/>
      <c r="AH11" s="120">
        <f t="shared" si="4"/>
        <v>0</v>
      </c>
      <c r="AI11" s="121"/>
      <c r="AJ11" s="122"/>
      <c r="AK11" s="123"/>
      <c r="AL11" s="71"/>
      <c r="AM11" s="71"/>
      <c r="AN11" s="123"/>
      <c r="AO11" s="123"/>
      <c r="AP11" s="71"/>
      <c r="AQ11" s="123"/>
      <c r="AR11" s="71"/>
      <c r="AS11" s="104">
        <f t="shared" si="5"/>
        <v>0</v>
      </c>
      <c r="AT11" s="105"/>
      <c r="AU11" s="104"/>
      <c r="AV11" s="71"/>
      <c r="AW11" s="70"/>
      <c r="AX11" s="104">
        <f t="shared" si="6"/>
        <v>0</v>
      </c>
      <c r="AY11" s="104">
        <f t="shared" si="7"/>
        <v>0</v>
      </c>
      <c r="AZ11" s="104"/>
      <c r="BA11" s="71"/>
      <c r="BB11" s="71"/>
      <c r="BC11" s="104">
        <f t="shared" si="8"/>
        <v>0</v>
      </c>
      <c r="BD11" s="104"/>
      <c r="BE11" s="104"/>
      <c r="BF11" s="137">
        <f t="shared" si="9"/>
        <v>0</v>
      </c>
      <c r="BG11" s="137"/>
      <c r="BH11" s="138">
        <f t="shared" si="10"/>
        <v>24</v>
      </c>
    </row>
    <row r="12" s="57" customFormat="1" ht="24" spans="1:60">
      <c r="A12" s="72" t="s">
        <v>314</v>
      </c>
      <c r="B12" s="68" t="s">
        <v>313</v>
      </c>
      <c r="C12" s="69"/>
      <c r="D12" s="70"/>
      <c r="E12" s="71"/>
      <c r="F12" s="70"/>
      <c r="G12" s="74"/>
      <c r="H12" s="70"/>
      <c r="I12" s="71"/>
      <c r="J12" s="70"/>
      <c r="K12" s="71"/>
      <c r="L12" s="104">
        <f t="shared" si="0"/>
        <v>0</v>
      </c>
      <c r="M12" s="107">
        <v>3</v>
      </c>
      <c r="N12" s="103"/>
      <c r="O12" s="71">
        <v>1.5</v>
      </c>
      <c r="P12" s="70"/>
      <c r="Q12" s="71">
        <v>3</v>
      </c>
      <c r="R12" s="70"/>
      <c r="S12" s="70"/>
      <c r="T12" s="71">
        <v>1.5</v>
      </c>
      <c r="U12" s="70"/>
      <c r="V12" s="71">
        <v>3</v>
      </c>
      <c r="W12" s="104">
        <f t="shared" si="1"/>
        <v>12</v>
      </c>
      <c r="X12" s="103"/>
      <c r="Y12" s="109">
        <v>3</v>
      </c>
      <c r="Z12" s="103"/>
      <c r="AA12" s="71">
        <v>3</v>
      </c>
      <c r="AB12" s="104">
        <f t="shared" si="2"/>
        <v>6</v>
      </c>
      <c r="AC12" s="114">
        <f t="shared" si="3"/>
        <v>18</v>
      </c>
      <c r="AD12" s="71"/>
      <c r="AE12" s="71"/>
      <c r="AF12" s="71"/>
      <c r="AG12" s="71"/>
      <c r="AH12" s="120">
        <f t="shared" si="4"/>
        <v>0</v>
      </c>
      <c r="AI12" s="121"/>
      <c r="AJ12" s="122"/>
      <c r="AK12" s="123"/>
      <c r="AL12" s="71"/>
      <c r="AM12" s="71"/>
      <c r="AN12" s="123"/>
      <c r="AO12" s="123"/>
      <c r="AP12" s="71"/>
      <c r="AQ12" s="123"/>
      <c r="AR12" s="71"/>
      <c r="AS12" s="104">
        <f t="shared" si="5"/>
        <v>0</v>
      </c>
      <c r="AT12" s="105"/>
      <c r="AU12" s="104"/>
      <c r="AV12" s="71"/>
      <c r="AW12" s="70"/>
      <c r="AX12" s="104">
        <f t="shared" si="6"/>
        <v>0</v>
      </c>
      <c r="AY12" s="104">
        <f t="shared" si="7"/>
        <v>0</v>
      </c>
      <c r="AZ12" s="104"/>
      <c r="BA12" s="71"/>
      <c r="BB12" s="71"/>
      <c r="BC12" s="104">
        <f t="shared" si="8"/>
        <v>0</v>
      </c>
      <c r="BD12" s="104"/>
      <c r="BE12" s="104"/>
      <c r="BF12" s="137">
        <f t="shared" si="9"/>
        <v>0</v>
      </c>
      <c r="BG12" s="137"/>
      <c r="BH12" s="138">
        <f>BI14+SUM(AC12,AY12,BC12,BF12)</f>
        <v>18</v>
      </c>
    </row>
    <row r="13" s="57" customFormat="1" ht="28" customHeight="1" spans="1:60">
      <c r="A13" s="72" t="s">
        <v>166</v>
      </c>
      <c r="B13" s="68" t="s">
        <v>315</v>
      </c>
      <c r="C13" s="69"/>
      <c r="D13" s="70"/>
      <c r="E13" s="71"/>
      <c r="F13" s="70">
        <v>2</v>
      </c>
      <c r="G13" s="71">
        <v>2</v>
      </c>
      <c r="H13" s="70"/>
      <c r="I13" s="71">
        <v>2</v>
      </c>
      <c r="J13" s="70"/>
      <c r="K13" s="71">
        <v>2</v>
      </c>
      <c r="L13" s="104">
        <f t="shared" si="0"/>
        <v>8</v>
      </c>
      <c r="M13" s="107">
        <v>2</v>
      </c>
      <c r="N13" s="103">
        <v>2</v>
      </c>
      <c r="O13" s="71">
        <v>1</v>
      </c>
      <c r="P13" s="70">
        <v>1</v>
      </c>
      <c r="Q13" s="71">
        <v>1</v>
      </c>
      <c r="R13" s="70">
        <v>1</v>
      </c>
      <c r="S13" s="70"/>
      <c r="T13" s="71"/>
      <c r="U13" s="70"/>
      <c r="V13" s="71"/>
      <c r="W13" s="104">
        <f t="shared" si="1"/>
        <v>8</v>
      </c>
      <c r="X13" s="103"/>
      <c r="Y13" s="109"/>
      <c r="Z13" s="70"/>
      <c r="AA13" s="71"/>
      <c r="AB13" s="104">
        <f t="shared" si="2"/>
        <v>0</v>
      </c>
      <c r="AC13" s="114">
        <f t="shared" si="3"/>
        <v>16</v>
      </c>
      <c r="AD13" s="71"/>
      <c r="AE13" s="71"/>
      <c r="AF13" s="71"/>
      <c r="AG13" s="71"/>
      <c r="AH13" s="120"/>
      <c r="AI13" s="121"/>
      <c r="AJ13" s="122"/>
      <c r="AK13" s="123"/>
      <c r="AL13" s="71"/>
      <c r="AM13" s="71"/>
      <c r="AN13" s="123"/>
      <c r="AO13" s="123"/>
      <c r="AP13" s="71"/>
      <c r="AQ13" s="123"/>
      <c r="AR13" s="71"/>
      <c r="AS13" s="104">
        <f t="shared" si="5"/>
        <v>0</v>
      </c>
      <c r="AT13" s="105"/>
      <c r="AU13" s="104"/>
      <c r="AV13" s="71"/>
      <c r="AW13" s="70"/>
      <c r="AX13" s="104">
        <f t="shared" si="6"/>
        <v>0</v>
      </c>
      <c r="AY13" s="104">
        <f t="shared" si="7"/>
        <v>0</v>
      </c>
      <c r="AZ13" s="104"/>
      <c r="BA13" s="71"/>
      <c r="BB13" s="71"/>
      <c r="BC13" s="104">
        <f t="shared" si="8"/>
        <v>0</v>
      </c>
      <c r="BD13" s="104"/>
      <c r="BE13" s="104"/>
      <c r="BF13" s="137">
        <f t="shared" si="9"/>
        <v>0</v>
      </c>
      <c r="BG13" s="137"/>
      <c r="BH13" s="138">
        <f>BI15+SUM(AC13,AY13,BC13,BF13)</f>
        <v>16</v>
      </c>
    </row>
    <row r="14" s="57" customFormat="1" ht="24" spans="1:60">
      <c r="A14" s="72" t="s">
        <v>316</v>
      </c>
      <c r="B14" s="68" t="s">
        <v>150</v>
      </c>
      <c r="C14" s="69"/>
      <c r="D14" s="70"/>
      <c r="E14" s="71"/>
      <c r="F14" s="70"/>
      <c r="G14" s="71"/>
      <c r="H14" s="70"/>
      <c r="I14" s="71"/>
      <c r="J14" s="70"/>
      <c r="K14" s="71"/>
      <c r="L14" s="104">
        <f t="shared" si="0"/>
        <v>0</v>
      </c>
      <c r="M14" s="107">
        <v>2</v>
      </c>
      <c r="N14" s="103"/>
      <c r="O14" s="71">
        <v>1</v>
      </c>
      <c r="P14" s="70"/>
      <c r="Q14" s="71">
        <v>2</v>
      </c>
      <c r="R14" s="70">
        <v>2</v>
      </c>
      <c r="S14" s="70">
        <v>1</v>
      </c>
      <c r="T14" s="71">
        <v>1</v>
      </c>
      <c r="U14" s="70">
        <v>2</v>
      </c>
      <c r="V14" s="71">
        <v>2</v>
      </c>
      <c r="W14" s="104">
        <f t="shared" si="1"/>
        <v>13</v>
      </c>
      <c r="X14" s="103">
        <v>2</v>
      </c>
      <c r="Y14" s="109">
        <v>2</v>
      </c>
      <c r="Z14" s="70">
        <v>2</v>
      </c>
      <c r="AA14" s="71">
        <v>2</v>
      </c>
      <c r="AB14" s="104">
        <f t="shared" si="2"/>
        <v>8</v>
      </c>
      <c r="AC14" s="114">
        <f t="shared" si="3"/>
        <v>21</v>
      </c>
      <c r="AD14" s="71"/>
      <c r="AE14" s="71"/>
      <c r="AF14" s="71"/>
      <c r="AG14" s="71"/>
      <c r="AH14" s="120">
        <f>SUM(AE14:AG14)</f>
        <v>0</v>
      </c>
      <c r="AI14" s="121"/>
      <c r="AJ14" s="122"/>
      <c r="AK14" s="123"/>
      <c r="AL14" s="71"/>
      <c r="AM14" s="71"/>
      <c r="AN14" s="123"/>
      <c r="AO14" s="123"/>
      <c r="AP14" s="71"/>
      <c r="AQ14" s="123"/>
      <c r="AR14" s="71"/>
      <c r="AS14" s="104">
        <f t="shared" si="5"/>
        <v>0</v>
      </c>
      <c r="AT14" s="105"/>
      <c r="AU14" s="104"/>
      <c r="AV14" s="71"/>
      <c r="AW14" s="70"/>
      <c r="AX14" s="104">
        <f t="shared" si="6"/>
        <v>0</v>
      </c>
      <c r="AY14" s="104">
        <f t="shared" si="7"/>
        <v>0</v>
      </c>
      <c r="AZ14" s="104"/>
      <c r="BA14" s="71"/>
      <c r="BB14" s="71"/>
      <c r="BC14" s="104">
        <f t="shared" si="8"/>
        <v>0</v>
      </c>
      <c r="BD14" s="104"/>
      <c r="BE14" s="104"/>
      <c r="BF14" s="137">
        <f t="shared" si="9"/>
        <v>0</v>
      </c>
      <c r="BG14" s="137"/>
      <c r="BH14" s="136">
        <f>BI15+SUM(AC14,AY14,BC14,BF14)</f>
        <v>21</v>
      </c>
    </row>
    <row r="15" s="57" customFormat="1" ht="28" customHeight="1" spans="1:60">
      <c r="A15" s="75" t="s">
        <v>316</v>
      </c>
      <c r="B15" s="76" t="s">
        <v>317</v>
      </c>
      <c r="C15" s="77"/>
      <c r="D15" s="70"/>
      <c r="E15" s="78"/>
      <c r="F15" s="70"/>
      <c r="G15" s="78"/>
      <c r="H15" s="70"/>
      <c r="I15" s="78"/>
      <c r="J15" s="70"/>
      <c r="K15" s="78"/>
      <c r="L15" s="108">
        <f t="shared" si="0"/>
        <v>0</v>
      </c>
      <c r="M15" s="109"/>
      <c r="N15" s="103"/>
      <c r="O15" s="78">
        <v>0.5</v>
      </c>
      <c r="P15" s="70"/>
      <c r="Q15" s="78">
        <v>1</v>
      </c>
      <c r="R15" s="70"/>
      <c r="S15" s="70"/>
      <c r="T15" s="78">
        <v>0.5</v>
      </c>
      <c r="U15" s="70"/>
      <c r="V15" s="78">
        <v>1</v>
      </c>
      <c r="W15" s="108">
        <f t="shared" si="1"/>
        <v>3</v>
      </c>
      <c r="X15" s="103"/>
      <c r="Y15" s="109">
        <v>2</v>
      </c>
      <c r="Z15" s="70"/>
      <c r="AA15" s="78">
        <v>2</v>
      </c>
      <c r="AB15" s="108">
        <f t="shared" si="2"/>
        <v>4</v>
      </c>
      <c r="AC15" s="113">
        <f t="shared" si="3"/>
        <v>7</v>
      </c>
      <c r="AD15" s="78"/>
      <c r="AE15" s="78"/>
      <c r="AF15" s="78"/>
      <c r="AG15" s="78"/>
      <c r="AH15" s="124">
        <f>SUM(AE15:AG15)</f>
        <v>0</v>
      </c>
      <c r="AI15" s="125"/>
      <c r="AJ15" s="126"/>
      <c r="AK15" s="127"/>
      <c r="AL15" s="78"/>
      <c r="AM15" s="78"/>
      <c r="AN15" s="127"/>
      <c r="AO15" s="127"/>
      <c r="AP15" s="78"/>
      <c r="AQ15" s="127"/>
      <c r="AR15" s="78"/>
      <c r="AS15" s="108">
        <f t="shared" si="5"/>
        <v>0</v>
      </c>
      <c r="AT15" s="105"/>
      <c r="AU15" s="108"/>
      <c r="AV15" s="78"/>
      <c r="AW15" s="70"/>
      <c r="AX15" s="108">
        <f t="shared" si="6"/>
        <v>0</v>
      </c>
      <c r="AY15" s="108">
        <f t="shared" si="7"/>
        <v>0</v>
      </c>
      <c r="AZ15" s="108"/>
      <c r="BA15" s="78"/>
      <c r="BB15" s="78"/>
      <c r="BC15" s="108">
        <f t="shared" si="8"/>
        <v>0</v>
      </c>
      <c r="BD15" s="108"/>
      <c r="BE15" s="108"/>
      <c r="BF15" s="139">
        <f t="shared" si="9"/>
        <v>0</v>
      </c>
      <c r="BG15" s="139"/>
      <c r="BH15" s="140">
        <f>BI16+SUM(AC15,AY15,BC15,BF15)</f>
        <v>7</v>
      </c>
    </row>
    <row r="16" s="57" customFormat="1" ht="24" spans="1:60">
      <c r="A16" s="79" t="s">
        <v>318</v>
      </c>
      <c r="B16" s="68" t="s">
        <v>100</v>
      </c>
      <c r="C16" s="69"/>
      <c r="D16" s="70"/>
      <c r="E16" s="71"/>
      <c r="F16" s="70"/>
      <c r="G16" s="71"/>
      <c r="H16" s="70"/>
      <c r="I16" s="71"/>
      <c r="J16" s="70"/>
      <c r="K16" s="71"/>
      <c r="L16" s="104">
        <f t="shared" si="0"/>
        <v>0</v>
      </c>
      <c r="M16" s="107"/>
      <c r="N16" s="103">
        <v>2</v>
      </c>
      <c r="O16" s="78"/>
      <c r="P16" s="70">
        <v>1</v>
      </c>
      <c r="Q16" s="71"/>
      <c r="R16" s="111">
        <v>2</v>
      </c>
      <c r="S16" s="70">
        <v>1</v>
      </c>
      <c r="T16" s="71"/>
      <c r="U16" s="70">
        <v>2</v>
      </c>
      <c r="V16" s="71"/>
      <c r="W16" s="104">
        <f t="shared" si="1"/>
        <v>8</v>
      </c>
      <c r="X16" s="103">
        <v>2</v>
      </c>
      <c r="Y16" s="109"/>
      <c r="Z16" s="70">
        <v>2</v>
      </c>
      <c r="AA16" s="71"/>
      <c r="AB16" s="104">
        <f t="shared" si="2"/>
        <v>4</v>
      </c>
      <c r="AC16" s="114">
        <f t="shared" si="3"/>
        <v>12</v>
      </c>
      <c r="AD16" s="71"/>
      <c r="AE16" s="71"/>
      <c r="AF16" s="71"/>
      <c r="AG16" s="71"/>
      <c r="AH16" s="120">
        <f>SUM(AE16:AG16)</f>
        <v>0</v>
      </c>
      <c r="AI16" s="121"/>
      <c r="AJ16" s="122"/>
      <c r="AK16" s="123"/>
      <c r="AL16" s="71"/>
      <c r="AM16" s="71"/>
      <c r="AN16" s="123"/>
      <c r="AO16" s="123"/>
      <c r="AP16" s="71"/>
      <c r="AQ16" s="123"/>
      <c r="AR16" s="71"/>
      <c r="AS16" s="104">
        <f t="shared" si="5"/>
        <v>0</v>
      </c>
      <c r="AT16" s="103">
        <v>1</v>
      </c>
      <c r="AU16" s="104"/>
      <c r="AV16" s="71"/>
      <c r="AW16" s="70"/>
      <c r="AX16" s="104">
        <f t="shared" si="6"/>
        <v>1</v>
      </c>
      <c r="AY16" s="104">
        <f t="shared" si="7"/>
        <v>1</v>
      </c>
      <c r="AZ16" s="104"/>
      <c r="BA16" s="71"/>
      <c r="BB16" s="71"/>
      <c r="BC16" s="104">
        <f t="shared" si="8"/>
        <v>0</v>
      </c>
      <c r="BD16" s="104"/>
      <c r="BE16" s="104"/>
      <c r="BF16" s="137">
        <f t="shared" si="9"/>
        <v>0</v>
      </c>
      <c r="BG16" s="137"/>
      <c r="BH16" s="140">
        <f>BI17+SUM(AC16,AY16,BC16,BF16)</f>
        <v>13</v>
      </c>
    </row>
    <row r="17" s="58" customFormat="1" ht="27" customHeight="1" spans="1:97">
      <c r="A17" s="80" t="s">
        <v>311</v>
      </c>
      <c r="B17" s="76" t="s">
        <v>319</v>
      </c>
      <c r="C17" s="77"/>
      <c r="D17" s="70">
        <v>1</v>
      </c>
      <c r="E17" s="78"/>
      <c r="F17" s="70">
        <v>1</v>
      </c>
      <c r="G17" s="78"/>
      <c r="H17" s="81">
        <v>2</v>
      </c>
      <c r="I17" s="78"/>
      <c r="J17" s="70">
        <v>1</v>
      </c>
      <c r="K17" s="78"/>
      <c r="L17" s="108">
        <f t="shared" ref="L17:L36" si="11">SUM(D17:K17)</f>
        <v>5</v>
      </c>
      <c r="M17" s="109"/>
      <c r="N17" s="103">
        <v>1</v>
      </c>
      <c r="O17" s="78"/>
      <c r="P17" s="70">
        <v>0.5</v>
      </c>
      <c r="Q17" s="78"/>
      <c r="R17" s="70">
        <v>1</v>
      </c>
      <c r="S17" s="70">
        <v>0.5</v>
      </c>
      <c r="T17" s="78"/>
      <c r="U17" s="70">
        <v>1</v>
      </c>
      <c r="V17" s="78"/>
      <c r="W17" s="108">
        <f t="shared" ref="W17:W36" si="12">SUM(M17:V17)</f>
        <v>4</v>
      </c>
      <c r="X17" s="103">
        <v>2</v>
      </c>
      <c r="Y17" s="109"/>
      <c r="Z17" s="70">
        <v>2</v>
      </c>
      <c r="AA17" s="78"/>
      <c r="AB17" s="108">
        <f t="shared" ref="AB17:AB36" si="13">SUM(X17:AA17)</f>
        <v>4</v>
      </c>
      <c r="AC17" s="114">
        <f t="shared" ref="AC17:AC36" si="14">SUM(L17,W17,AB17)</f>
        <v>13</v>
      </c>
      <c r="AD17" s="78"/>
      <c r="AE17" s="78"/>
      <c r="AF17" s="78"/>
      <c r="AG17" s="78"/>
      <c r="AH17" s="124">
        <f t="shared" ref="AH17:AH36" si="15">SUM(AE17:AG17)</f>
        <v>0</v>
      </c>
      <c r="AI17" s="125"/>
      <c r="AJ17" s="128"/>
      <c r="AK17" s="129"/>
      <c r="AL17" s="78"/>
      <c r="AM17" s="78"/>
      <c r="AN17" s="127"/>
      <c r="AO17" s="127"/>
      <c r="AP17" s="78"/>
      <c r="AQ17" s="127"/>
      <c r="AR17" s="78"/>
      <c r="AS17" s="108">
        <f t="shared" ref="AS17:AS36" si="16">SUM(AI17:AR17)</f>
        <v>0</v>
      </c>
      <c r="AT17" s="105"/>
      <c r="AU17" s="108"/>
      <c r="AV17" s="78"/>
      <c r="AW17" s="70"/>
      <c r="AX17" s="104">
        <f t="shared" ref="AX17:AX23" si="17">SUM(AT17:AV17)</f>
        <v>0</v>
      </c>
      <c r="AY17" s="108">
        <f t="shared" ref="AY17:AY36" si="18">SUM(AH17,AS17,AX17)</f>
        <v>0</v>
      </c>
      <c r="AZ17" s="108"/>
      <c r="BA17" s="78"/>
      <c r="BB17" s="78"/>
      <c r="BC17" s="108">
        <f t="shared" ref="BC17:BC36" si="19">SUM(AZ17:BB17)</f>
        <v>0</v>
      </c>
      <c r="BD17" s="108"/>
      <c r="BE17" s="108"/>
      <c r="BF17" s="139">
        <f t="shared" ref="BF17:BF36" si="20">SUM(BD17:BE17)</f>
        <v>0</v>
      </c>
      <c r="BG17" s="139"/>
      <c r="BH17" s="140">
        <f>BI19+SUM(AC17,AY17,BC17,BF17)</f>
        <v>13</v>
      </c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</row>
    <row r="18" s="57" customFormat="1" ht="24" spans="1:60">
      <c r="A18" s="72" t="s">
        <v>230</v>
      </c>
      <c r="B18" s="68" t="s">
        <v>110</v>
      </c>
      <c r="C18" s="69"/>
      <c r="D18" s="70"/>
      <c r="E18" s="71"/>
      <c r="F18" s="70"/>
      <c r="G18" s="71"/>
      <c r="H18" s="70"/>
      <c r="I18" s="71"/>
      <c r="J18" s="70"/>
      <c r="K18" s="71"/>
      <c r="L18" s="104">
        <f t="shared" si="11"/>
        <v>0</v>
      </c>
      <c r="M18" s="107"/>
      <c r="N18" s="103"/>
      <c r="O18" s="71"/>
      <c r="P18" s="70"/>
      <c r="Q18" s="71">
        <v>2</v>
      </c>
      <c r="R18" s="70"/>
      <c r="S18" s="70"/>
      <c r="T18" s="71">
        <v>1</v>
      </c>
      <c r="U18" s="70"/>
      <c r="V18" s="71">
        <v>2</v>
      </c>
      <c r="W18" s="104">
        <f t="shared" si="12"/>
        <v>5</v>
      </c>
      <c r="X18" s="103">
        <v>2</v>
      </c>
      <c r="Y18" s="109">
        <v>2</v>
      </c>
      <c r="Z18" s="70"/>
      <c r="AA18" s="71">
        <v>8</v>
      </c>
      <c r="AB18" s="104">
        <f t="shared" si="13"/>
        <v>12</v>
      </c>
      <c r="AC18" s="114">
        <f t="shared" si="14"/>
        <v>17</v>
      </c>
      <c r="AD18" s="71"/>
      <c r="AE18" s="71"/>
      <c r="AF18" s="71"/>
      <c r="AG18" s="71"/>
      <c r="AH18" s="120">
        <f t="shared" si="15"/>
        <v>0</v>
      </c>
      <c r="AI18" s="121"/>
      <c r="AJ18" s="122"/>
      <c r="AK18" s="123"/>
      <c r="AL18" s="71"/>
      <c r="AM18" s="71"/>
      <c r="AN18" s="123"/>
      <c r="AO18" s="123"/>
      <c r="AP18" s="71"/>
      <c r="AQ18" s="123"/>
      <c r="AR18" s="71"/>
      <c r="AS18" s="104">
        <f t="shared" si="16"/>
        <v>0</v>
      </c>
      <c r="AT18" s="105"/>
      <c r="AU18" s="104">
        <v>1</v>
      </c>
      <c r="AV18" s="71"/>
      <c r="AW18" s="70"/>
      <c r="AX18" s="104">
        <f t="shared" si="17"/>
        <v>1</v>
      </c>
      <c r="AY18" s="104">
        <f t="shared" si="18"/>
        <v>1</v>
      </c>
      <c r="AZ18" s="104"/>
      <c r="BA18" s="71"/>
      <c r="BB18" s="71"/>
      <c r="BC18" s="104">
        <f t="shared" si="19"/>
        <v>0</v>
      </c>
      <c r="BD18" s="104"/>
      <c r="BE18" s="104"/>
      <c r="BF18" s="137">
        <f t="shared" si="20"/>
        <v>0</v>
      </c>
      <c r="BG18" s="137"/>
      <c r="BH18" s="136">
        <f>BI20+SUM(AC18,AY18,BC18,BF18)</f>
        <v>18</v>
      </c>
    </row>
    <row r="19" s="57" customFormat="1" ht="27" customHeight="1" spans="1:60">
      <c r="A19" s="79" t="s">
        <v>320</v>
      </c>
      <c r="B19" s="68" t="s">
        <v>110</v>
      </c>
      <c r="C19" s="69"/>
      <c r="D19" s="70"/>
      <c r="E19" s="71"/>
      <c r="F19" s="70"/>
      <c r="G19" s="71"/>
      <c r="H19" s="70"/>
      <c r="I19" s="71"/>
      <c r="J19" s="70"/>
      <c r="K19" s="71"/>
      <c r="L19" s="104">
        <f t="shared" si="11"/>
        <v>0</v>
      </c>
      <c r="M19" s="107"/>
      <c r="N19" s="103"/>
      <c r="O19" s="71"/>
      <c r="P19" s="70"/>
      <c r="Q19" s="71"/>
      <c r="R19" s="70">
        <v>2</v>
      </c>
      <c r="S19" s="70">
        <v>1</v>
      </c>
      <c r="T19" s="71"/>
      <c r="U19" s="70">
        <v>2</v>
      </c>
      <c r="V19" s="71"/>
      <c r="W19" s="104">
        <f t="shared" si="12"/>
        <v>5</v>
      </c>
      <c r="X19" s="103"/>
      <c r="Y19" s="109"/>
      <c r="Z19" s="70">
        <v>2</v>
      </c>
      <c r="AA19" s="71"/>
      <c r="AB19" s="104">
        <f t="shared" si="13"/>
        <v>2</v>
      </c>
      <c r="AC19" s="114">
        <f t="shared" si="14"/>
        <v>7</v>
      </c>
      <c r="AD19" s="71"/>
      <c r="AE19" s="71"/>
      <c r="AF19" s="71"/>
      <c r="AG19" s="71"/>
      <c r="AH19" s="120">
        <f t="shared" si="15"/>
        <v>0</v>
      </c>
      <c r="AI19" s="121"/>
      <c r="AJ19" s="122"/>
      <c r="AK19" s="123"/>
      <c r="AL19" s="71"/>
      <c r="AM19" s="71"/>
      <c r="AN19" s="123"/>
      <c r="AO19" s="123"/>
      <c r="AP19" s="71"/>
      <c r="AQ19" s="123"/>
      <c r="AR19" s="71"/>
      <c r="AS19" s="104">
        <f t="shared" si="16"/>
        <v>0</v>
      </c>
      <c r="AT19" s="105"/>
      <c r="AU19" s="104"/>
      <c r="AV19" s="71"/>
      <c r="AW19" s="70"/>
      <c r="AX19" s="104">
        <f t="shared" si="17"/>
        <v>0</v>
      </c>
      <c r="AY19" s="104">
        <f t="shared" si="18"/>
        <v>0</v>
      </c>
      <c r="AZ19" s="104"/>
      <c r="BA19" s="71"/>
      <c r="BB19" s="71"/>
      <c r="BC19" s="104">
        <f t="shared" si="19"/>
        <v>0</v>
      </c>
      <c r="BD19" s="104"/>
      <c r="BE19" s="104"/>
      <c r="BF19" s="137">
        <f t="shared" si="20"/>
        <v>0</v>
      </c>
      <c r="BG19" s="137"/>
      <c r="BH19" s="136">
        <f>BI22+SUM(AC19,AY19,BC19,BF19)</f>
        <v>7</v>
      </c>
    </row>
    <row r="20" s="57" customFormat="1" ht="24" spans="1:60">
      <c r="A20" s="79" t="s">
        <v>321</v>
      </c>
      <c r="B20" s="68" t="s">
        <v>322</v>
      </c>
      <c r="C20" s="69"/>
      <c r="D20" s="70"/>
      <c r="E20" s="71"/>
      <c r="F20" s="70"/>
      <c r="G20" s="71"/>
      <c r="H20" s="70"/>
      <c r="I20" s="71"/>
      <c r="J20" s="70"/>
      <c r="K20" s="71"/>
      <c r="L20" s="104">
        <f t="shared" si="11"/>
        <v>0</v>
      </c>
      <c r="M20" s="107"/>
      <c r="N20" s="103">
        <v>5</v>
      </c>
      <c r="O20" s="71"/>
      <c r="P20" s="70">
        <v>2.5</v>
      </c>
      <c r="Q20" s="71"/>
      <c r="R20" s="70">
        <v>5</v>
      </c>
      <c r="S20" s="70">
        <v>2.5</v>
      </c>
      <c r="T20" s="71"/>
      <c r="U20" s="70">
        <v>5</v>
      </c>
      <c r="V20" s="71"/>
      <c r="W20" s="104">
        <f t="shared" si="12"/>
        <v>20</v>
      </c>
      <c r="X20" s="103">
        <v>3</v>
      </c>
      <c r="Y20" s="109"/>
      <c r="Z20" s="70">
        <v>3</v>
      </c>
      <c r="AA20" s="71"/>
      <c r="AB20" s="104">
        <f t="shared" si="13"/>
        <v>6</v>
      </c>
      <c r="AC20" s="114">
        <f t="shared" si="14"/>
        <v>26</v>
      </c>
      <c r="AD20" s="71"/>
      <c r="AE20" s="71"/>
      <c r="AF20" s="71"/>
      <c r="AG20" s="71"/>
      <c r="AH20" s="120">
        <f t="shared" si="15"/>
        <v>0</v>
      </c>
      <c r="AI20" s="121"/>
      <c r="AJ20" s="122"/>
      <c r="AK20" s="123"/>
      <c r="AL20" s="71"/>
      <c r="AM20" s="71"/>
      <c r="AN20" s="123"/>
      <c r="AO20" s="123"/>
      <c r="AP20" s="71"/>
      <c r="AQ20" s="123"/>
      <c r="AR20" s="71"/>
      <c r="AS20" s="104">
        <f t="shared" si="16"/>
        <v>0</v>
      </c>
      <c r="AT20" s="105"/>
      <c r="AU20" s="104"/>
      <c r="AV20" s="71"/>
      <c r="AW20" s="70"/>
      <c r="AX20" s="104">
        <f t="shared" si="17"/>
        <v>0</v>
      </c>
      <c r="AY20" s="104">
        <f t="shared" si="18"/>
        <v>0</v>
      </c>
      <c r="AZ20" s="104"/>
      <c r="BA20" s="71"/>
      <c r="BB20" s="71"/>
      <c r="BC20" s="104">
        <f t="shared" si="19"/>
        <v>0</v>
      </c>
      <c r="BD20" s="104"/>
      <c r="BE20" s="104"/>
      <c r="BF20" s="137">
        <f t="shared" si="20"/>
        <v>0</v>
      </c>
      <c r="BG20" s="137"/>
      <c r="BH20" s="136">
        <f t="shared" ref="BH20:BH26" si="21">BI21+SUM(AC20,AY20,BC20,BF20)</f>
        <v>26</v>
      </c>
    </row>
    <row r="21" s="57" customFormat="1" ht="28" customHeight="1" spans="1:60">
      <c r="A21" s="79" t="s">
        <v>323</v>
      </c>
      <c r="B21" s="68" t="s">
        <v>324</v>
      </c>
      <c r="C21" s="69"/>
      <c r="D21" s="70"/>
      <c r="E21" s="71"/>
      <c r="F21" s="70"/>
      <c r="G21" s="71">
        <v>2</v>
      </c>
      <c r="H21" s="70"/>
      <c r="I21" s="71">
        <v>2</v>
      </c>
      <c r="J21" s="106"/>
      <c r="K21" s="71">
        <v>2</v>
      </c>
      <c r="L21" s="104">
        <f t="shared" si="11"/>
        <v>6</v>
      </c>
      <c r="M21" s="107">
        <v>3</v>
      </c>
      <c r="N21" s="103"/>
      <c r="O21" s="71">
        <v>1.5</v>
      </c>
      <c r="P21" s="70"/>
      <c r="Q21" s="71">
        <v>3</v>
      </c>
      <c r="R21" s="70"/>
      <c r="S21" s="70"/>
      <c r="T21" s="71">
        <v>1.5</v>
      </c>
      <c r="U21" s="70"/>
      <c r="V21" s="71">
        <v>3</v>
      </c>
      <c r="W21" s="104">
        <f t="shared" si="12"/>
        <v>12</v>
      </c>
      <c r="X21" s="103"/>
      <c r="Y21" s="109">
        <v>2</v>
      </c>
      <c r="Z21" s="70"/>
      <c r="AA21" s="71">
        <v>2</v>
      </c>
      <c r="AB21" s="104">
        <f t="shared" si="13"/>
        <v>4</v>
      </c>
      <c r="AC21" s="114">
        <f t="shared" si="14"/>
        <v>22</v>
      </c>
      <c r="AD21" s="71"/>
      <c r="AE21" s="71"/>
      <c r="AF21" s="71"/>
      <c r="AG21" s="71"/>
      <c r="AH21" s="120">
        <f t="shared" si="15"/>
        <v>0</v>
      </c>
      <c r="AI21" s="121"/>
      <c r="AJ21" s="122"/>
      <c r="AK21" s="123"/>
      <c r="AL21" s="71"/>
      <c r="AM21" s="71"/>
      <c r="AN21" s="123"/>
      <c r="AO21" s="123"/>
      <c r="AP21" s="71"/>
      <c r="AQ21" s="123"/>
      <c r="AR21" s="71"/>
      <c r="AS21" s="104">
        <f t="shared" si="16"/>
        <v>0</v>
      </c>
      <c r="AT21" s="105"/>
      <c r="AU21" s="104"/>
      <c r="AV21" s="71"/>
      <c r="AW21" s="70"/>
      <c r="AX21" s="104">
        <f t="shared" si="17"/>
        <v>0</v>
      </c>
      <c r="AY21" s="104">
        <f t="shared" si="18"/>
        <v>0</v>
      </c>
      <c r="AZ21" s="104"/>
      <c r="BA21" s="71"/>
      <c r="BB21" s="71"/>
      <c r="BC21" s="104">
        <f t="shared" si="19"/>
        <v>0</v>
      </c>
      <c r="BD21" s="104"/>
      <c r="BE21" s="104"/>
      <c r="BF21" s="137">
        <f t="shared" si="20"/>
        <v>0</v>
      </c>
      <c r="BG21" s="137"/>
      <c r="BH21" s="136">
        <f t="shared" si="21"/>
        <v>22</v>
      </c>
    </row>
    <row r="22" s="57" customFormat="1" ht="24" spans="1:60">
      <c r="A22" s="72" t="s">
        <v>325</v>
      </c>
      <c r="B22" s="68" t="s">
        <v>326</v>
      </c>
      <c r="C22" s="69"/>
      <c r="D22" s="70"/>
      <c r="E22" s="71"/>
      <c r="F22" s="70"/>
      <c r="G22" s="71"/>
      <c r="H22" s="70"/>
      <c r="I22" s="71"/>
      <c r="J22" s="70"/>
      <c r="K22" s="71"/>
      <c r="L22" s="104">
        <f t="shared" si="11"/>
        <v>0</v>
      </c>
      <c r="M22" s="107">
        <v>5</v>
      </c>
      <c r="N22" s="103"/>
      <c r="O22" s="107"/>
      <c r="P22" s="70"/>
      <c r="Q22" s="71">
        <v>5</v>
      </c>
      <c r="R22" s="70"/>
      <c r="S22" s="70"/>
      <c r="T22" s="71">
        <v>2.5</v>
      </c>
      <c r="U22" s="70"/>
      <c r="V22" s="71">
        <v>5</v>
      </c>
      <c r="W22" s="104">
        <f t="shared" si="12"/>
        <v>17.5</v>
      </c>
      <c r="X22" s="103"/>
      <c r="Y22" s="109">
        <v>3</v>
      </c>
      <c r="Z22" s="103"/>
      <c r="AA22" s="71">
        <v>3</v>
      </c>
      <c r="AB22" s="104">
        <f t="shared" si="13"/>
        <v>6</v>
      </c>
      <c r="AC22" s="114">
        <f t="shared" si="14"/>
        <v>23.5</v>
      </c>
      <c r="AD22" s="71"/>
      <c r="AE22" s="71"/>
      <c r="AF22" s="71"/>
      <c r="AG22" s="71"/>
      <c r="AH22" s="120">
        <f t="shared" si="15"/>
        <v>0</v>
      </c>
      <c r="AI22" s="121"/>
      <c r="AJ22" s="122"/>
      <c r="AK22" s="123"/>
      <c r="AL22" s="71"/>
      <c r="AM22" s="71"/>
      <c r="AN22" s="123"/>
      <c r="AO22" s="123"/>
      <c r="AP22" s="71"/>
      <c r="AQ22" s="123"/>
      <c r="AR22" s="71"/>
      <c r="AS22" s="104">
        <f t="shared" si="16"/>
        <v>0</v>
      </c>
      <c r="AT22" s="105"/>
      <c r="AU22" s="104"/>
      <c r="AV22" s="71"/>
      <c r="AW22" s="70"/>
      <c r="AX22" s="104">
        <f t="shared" si="17"/>
        <v>0</v>
      </c>
      <c r="AY22" s="104">
        <f t="shared" si="18"/>
        <v>0</v>
      </c>
      <c r="AZ22" s="104"/>
      <c r="BA22" s="71"/>
      <c r="BB22" s="71"/>
      <c r="BC22" s="104">
        <f t="shared" si="19"/>
        <v>0</v>
      </c>
      <c r="BD22" s="104"/>
      <c r="BE22" s="104"/>
      <c r="BF22" s="137">
        <f t="shared" si="20"/>
        <v>0</v>
      </c>
      <c r="BG22" s="137"/>
      <c r="BH22" s="136">
        <f t="shared" si="21"/>
        <v>23.5</v>
      </c>
    </row>
    <row r="23" s="57" customFormat="1" ht="35.15" customHeight="1" spans="1:60">
      <c r="A23" s="72" t="s">
        <v>134</v>
      </c>
      <c r="B23" s="68" t="s">
        <v>327</v>
      </c>
      <c r="C23" s="69"/>
      <c r="D23" s="70"/>
      <c r="E23" s="71"/>
      <c r="F23" s="70"/>
      <c r="G23" s="71"/>
      <c r="H23" s="70"/>
      <c r="I23" s="71"/>
      <c r="J23" s="70"/>
      <c r="K23" s="71"/>
      <c r="L23" s="104">
        <f t="shared" si="11"/>
        <v>0</v>
      </c>
      <c r="M23" s="107"/>
      <c r="N23" s="103">
        <v>3</v>
      </c>
      <c r="O23" s="71"/>
      <c r="P23" s="70">
        <v>1.5</v>
      </c>
      <c r="Q23" s="71"/>
      <c r="R23" s="70">
        <v>3</v>
      </c>
      <c r="S23" s="70">
        <v>1.5</v>
      </c>
      <c r="T23" s="71"/>
      <c r="U23" s="70">
        <v>4</v>
      </c>
      <c r="V23" s="71"/>
      <c r="W23" s="104">
        <f t="shared" si="12"/>
        <v>13</v>
      </c>
      <c r="X23" s="103">
        <v>4</v>
      </c>
      <c r="Y23" s="109"/>
      <c r="Z23" s="70">
        <v>4</v>
      </c>
      <c r="AA23" s="71"/>
      <c r="AB23" s="104">
        <f t="shared" si="13"/>
        <v>8</v>
      </c>
      <c r="AC23" s="114">
        <f t="shared" si="14"/>
        <v>21</v>
      </c>
      <c r="AD23" s="71"/>
      <c r="AE23" s="71"/>
      <c r="AF23" s="71"/>
      <c r="AG23" s="71"/>
      <c r="AH23" s="120">
        <f t="shared" si="15"/>
        <v>0</v>
      </c>
      <c r="AI23" s="121"/>
      <c r="AJ23" s="130">
        <v>0.5</v>
      </c>
      <c r="AK23" s="123">
        <v>0.25</v>
      </c>
      <c r="AL23" s="71"/>
      <c r="AM23" s="71"/>
      <c r="AN23" s="123">
        <v>0.5</v>
      </c>
      <c r="AO23" s="123">
        <v>0.25</v>
      </c>
      <c r="AP23" s="71"/>
      <c r="AQ23" s="123">
        <v>1</v>
      </c>
      <c r="AR23" s="71"/>
      <c r="AS23" s="104">
        <f t="shared" si="16"/>
        <v>2.5</v>
      </c>
      <c r="AT23" s="105"/>
      <c r="AU23" s="104"/>
      <c r="AV23" s="71"/>
      <c r="AW23" s="70"/>
      <c r="AX23" s="104">
        <f t="shared" si="17"/>
        <v>0</v>
      </c>
      <c r="AY23" s="104">
        <f t="shared" si="18"/>
        <v>2.5</v>
      </c>
      <c r="AZ23" s="104"/>
      <c r="BA23" s="71"/>
      <c r="BB23" s="71"/>
      <c r="BC23" s="104">
        <f t="shared" si="19"/>
        <v>0</v>
      </c>
      <c r="BD23" s="104"/>
      <c r="BE23" s="104"/>
      <c r="BF23" s="137">
        <f t="shared" si="20"/>
        <v>0</v>
      </c>
      <c r="BG23" s="137"/>
      <c r="BH23" s="136">
        <f t="shared" si="21"/>
        <v>23.5</v>
      </c>
    </row>
    <row r="24" s="57" customFormat="1" ht="24" spans="1:60">
      <c r="A24" s="72" t="s">
        <v>328</v>
      </c>
      <c r="B24" s="68" t="s">
        <v>132</v>
      </c>
      <c r="C24" s="69"/>
      <c r="D24" s="70"/>
      <c r="E24" s="71"/>
      <c r="F24" s="70"/>
      <c r="G24" s="71"/>
      <c r="H24" s="70"/>
      <c r="I24" s="71"/>
      <c r="J24" s="70"/>
      <c r="K24" s="71"/>
      <c r="L24" s="104">
        <f t="shared" si="11"/>
        <v>0</v>
      </c>
      <c r="M24" s="107"/>
      <c r="N24" s="103">
        <v>5</v>
      </c>
      <c r="O24" s="71"/>
      <c r="P24" s="70">
        <v>2.5</v>
      </c>
      <c r="Q24" s="71"/>
      <c r="R24" s="70"/>
      <c r="S24" s="70"/>
      <c r="T24" s="71"/>
      <c r="U24" s="70">
        <v>5</v>
      </c>
      <c r="V24" s="71"/>
      <c r="W24" s="104">
        <f t="shared" si="12"/>
        <v>12.5</v>
      </c>
      <c r="X24" s="103">
        <v>6</v>
      </c>
      <c r="Y24" s="109"/>
      <c r="Z24" s="70">
        <v>6</v>
      </c>
      <c r="AA24" s="71"/>
      <c r="AB24" s="104">
        <f t="shared" si="13"/>
        <v>12</v>
      </c>
      <c r="AC24" s="114">
        <f t="shared" si="14"/>
        <v>24.5</v>
      </c>
      <c r="AD24" s="71"/>
      <c r="AE24" s="71"/>
      <c r="AF24" s="71"/>
      <c r="AG24" s="71"/>
      <c r="AH24" s="120">
        <f t="shared" si="15"/>
        <v>0</v>
      </c>
      <c r="AI24" s="121"/>
      <c r="AJ24" s="122"/>
      <c r="AK24" s="123"/>
      <c r="AL24" s="71"/>
      <c r="AM24" s="71"/>
      <c r="AN24" s="123"/>
      <c r="AO24" s="123"/>
      <c r="AP24" s="71"/>
      <c r="AQ24" s="123"/>
      <c r="AR24" s="71"/>
      <c r="AS24" s="104">
        <f t="shared" si="16"/>
        <v>0</v>
      </c>
      <c r="AT24" s="105"/>
      <c r="AU24" s="105"/>
      <c r="AV24" s="105"/>
      <c r="AW24" s="105">
        <v>1</v>
      </c>
      <c r="AX24" s="104">
        <v>1</v>
      </c>
      <c r="AY24" s="104">
        <f t="shared" si="18"/>
        <v>1</v>
      </c>
      <c r="AZ24" s="104"/>
      <c r="BA24" s="71"/>
      <c r="BB24" s="71"/>
      <c r="BC24" s="104">
        <f t="shared" si="19"/>
        <v>0</v>
      </c>
      <c r="BD24" s="104"/>
      <c r="BE24" s="104"/>
      <c r="BF24" s="137">
        <f t="shared" si="20"/>
        <v>0</v>
      </c>
      <c r="BG24" s="137"/>
      <c r="BH24" s="136">
        <f t="shared" si="21"/>
        <v>25.5</v>
      </c>
    </row>
    <row r="25" s="57" customFormat="1" ht="28" customHeight="1" spans="1:60">
      <c r="A25" s="82" t="s">
        <v>329</v>
      </c>
      <c r="B25" s="68" t="s">
        <v>132</v>
      </c>
      <c r="C25" s="69"/>
      <c r="D25" s="70"/>
      <c r="E25" s="71"/>
      <c r="F25" s="70"/>
      <c r="G25" s="71"/>
      <c r="H25" s="70"/>
      <c r="I25" s="71"/>
      <c r="J25" s="70"/>
      <c r="K25" s="71">
        <v>5</v>
      </c>
      <c r="L25" s="104">
        <f t="shared" si="11"/>
        <v>5</v>
      </c>
      <c r="M25" s="107"/>
      <c r="N25" s="103"/>
      <c r="O25" s="71">
        <v>2.5</v>
      </c>
      <c r="P25" s="70"/>
      <c r="Q25" s="71"/>
      <c r="R25" s="70">
        <v>5</v>
      </c>
      <c r="S25" s="70">
        <v>2.5</v>
      </c>
      <c r="T25" s="71">
        <v>2.5</v>
      </c>
      <c r="U25" s="70"/>
      <c r="V25" s="71">
        <v>5</v>
      </c>
      <c r="W25" s="104">
        <f t="shared" si="12"/>
        <v>17.5</v>
      </c>
      <c r="X25" s="103"/>
      <c r="Y25" s="109"/>
      <c r="Z25" s="70"/>
      <c r="AA25" s="71"/>
      <c r="AB25" s="104">
        <f t="shared" si="13"/>
        <v>0</v>
      </c>
      <c r="AC25" s="114">
        <f t="shared" si="14"/>
        <v>22.5</v>
      </c>
      <c r="AD25" s="71"/>
      <c r="AE25" s="71"/>
      <c r="AF25" s="71"/>
      <c r="AG25" s="71">
        <v>1</v>
      </c>
      <c r="AH25" s="120">
        <f t="shared" si="15"/>
        <v>1</v>
      </c>
      <c r="AI25" s="121"/>
      <c r="AJ25" s="122"/>
      <c r="AK25" s="123"/>
      <c r="AL25" s="71"/>
      <c r="AM25" s="71"/>
      <c r="AN25" s="123"/>
      <c r="AO25" s="123"/>
      <c r="AP25" s="71"/>
      <c r="AQ25" s="123"/>
      <c r="AR25" s="71"/>
      <c r="AS25" s="104">
        <f t="shared" si="16"/>
        <v>0</v>
      </c>
      <c r="AT25" s="105"/>
      <c r="AU25" s="104"/>
      <c r="AV25" s="71"/>
      <c r="AW25" s="70"/>
      <c r="AX25" s="104">
        <f t="shared" ref="AX25:AX35" si="22">SUM(AT25:AV25)</f>
        <v>0</v>
      </c>
      <c r="AY25" s="104">
        <f t="shared" si="18"/>
        <v>1</v>
      </c>
      <c r="AZ25" s="104"/>
      <c r="BA25" s="71"/>
      <c r="BB25" s="71"/>
      <c r="BC25" s="104">
        <f t="shared" si="19"/>
        <v>0</v>
      </c>
      <c r="BD25" s="104"/>
      <c r="BE25" s="104"/>
      <c r="BF25" s="137">
        <f t="shared" si="20"/>
        <v>0</v>
      </c>
      <c r="BG25" s="137"/>
      <c r="BH25" s="136">
        <f t="shared" si="21"/>
        <v>23.5</v>
      </c>
    </row>
    <row r="26" s="57" customFormat="1" ht="24" spans="1:60">
      <c r="A26" s="82" t="s">
        <v>164</v>
      </c>
      <c r="B26" s="68" t="s">
        <v>132</v>
      </c>
      <c r="C26" s="69"/>
      <c r="D26" s="70"/>
      <c r="E26" s="71"/>
      <c r="F26" s="70"/>
      <c r="G26" s="71"/>
      <c r="H26" s="70"/>
      <c r="I26" s="71"/>
      <c r="J26" s="70"/>
      <c r="K26" s="71"/>
      <c r="L26" s="104">
        <f t="shared" si="11"/>
        <v>0</v>
      </c>
      <c r="M26" s="107">
        <v>5</v>
      </c>
      <c r="N26" s="103"/>
      <c r="O26" s="71"/>
      <c r="P26" s="70"/>
      <c r="Q26" s="71">
        <v>5</v>
      </c>
      <c r="R26" s="70"/>
      <c r="S26" s="70"/>
      <c r="T26" s="71"/>
      <c r="U26" s="70"/>
      <c r="V26" s="71"/>
      <c r="W26" s="104">
        <f t="shared" si="12"/>
        <v>10</v>
      </c>
      <c r="X26" s="105"/>
      <c r="Y26" s="109">
        <v>6</v>
      </c>
      <c r="Z26" s="70"/>
      <c r="AA26" s="71"/>
      <c r="AB26" s="104">
        <f t="shared" si="13"/>
        <v>6</v>
      </c>
      <c r="AC26" s="114">
        <f t="shared" si="14"/>
        <v>16</v>
      </c>
      <c r="AD26" s="71"/>
      <c r="AE26" s="71"/>
      <c r="AF26" s="71"/>
      <c r="AG26" s="71"/>
      <c r="AH26" s="120">
        <f t="shared" si="15"/>
        <v>0</v>
      </c>
      <c r="AI26" s="121"/>
      <c r="AJ26" s="122"/>
      <c r="AK26" s="123"/>
      <c r="AL26" s="71"/>
      <c r="AM26" s="71"/>
      <c r="AN26" s="123"/>
      <c r="AO26" s="123"/>
      <c r="AP26" s="71"/>
      <c r="AQ26" s="123"/>
      <c r="AR26" s="71"/>
      <c r="AS26" s="104">
        <f t="shared" si="16"/>
        <v>0</v>
      </c>
      <c r="AT26" s="105"/>
      <c r="AU26" s="104"/>
      <c r="AV26" s="71"/>
      <c r="AW26" s="70"/>
      <c r="AX26" s="104">
        <f t="shared" si="22"/>
        <v>0</v>
      </c>
      <c r="AY26" s="104">
        <f t="shared" si="18"/>
        <v>0</v>
      </c>
      <c r="AZ26" s="104"/>
      <c r="BA26" s="71"/>
      <c r="BB26" s="71"/>
      <c r="BC26" s="104">
        <f t="shared" si="19"/>
        <v>0</v>
      </c>
      <c r="BD26" s="104"/>
      <c r="BE26" s="104"/>
      <c r="BF26" s="137">
        <f t="shared" si="20"/>
        <v>0</v>
      </c>
      <c r="BG26" s="137"/>
      <c r="BH26" s="136">
        <f t="shared" si="21"/>
        <v>16</v>
      </c>
    </row>
    <row r="27" s="57" customFormat="1" ht="28" customHeight="1" spans="1:60">
      <c r="A27" s="72" t="s">
        <v>167</v>
      </c>
      <c r="B27" s="83" t="s">
        <v>330</v>
      </c>
      <c r="C27" s="69"/>
      <c r="D27" s="70"/>
      <c r="E27" s="71"/>
      <c r="F27" s="70"/>
      <c r="G27" s="71"/>
      <c r="H27" s="70"/>
      <c r="I27" s="71"/>
      <c r="J27" s="70"/>
      <c r="K27" s="71"/>
      <c r="L27" s="104">
        <f t="shared" si="11"/>
        <v>0</v>
      </c>
      <c r="M27" s="107"/>
      <c r="N27" s="103"/>
      <c r="O27" s="71"/>
      <c r="P27" s="70"/>
      <c r="Q27" s="71"/>
      <c r="R27" s="70"/>
      <c r="S27" s="70"/>
      <c r="T27" s="71"/>
      <c r="U27" s="70"/>
      <c r="V27" s="71"/>
      <c r="W27" s="104">
        <f t="shared" si="12"/>
        <v>0</v>
      </c>
      <c r="X27" s="105"/>
      <c r="Y27" s="109"/>
      <c r="Z27" s="70">
        <v>4</v>
      </c>
      <c r="AA27" s="71"/>
      <c r="AB27" s="104">
        <f t="shared" si="13"/>
        <v>4</v>
      </c>
      <c r="AC27" s="114">
        <f t="shared" si="14"/>
        <v>4</v>
      </c>
      <c r="AD27" s="71"/>
      <c r="AE27" s="71"/>
      <c r="AF27" s="71"/>
      <c r="AG27" s="71"/>
      <c r="AH27" s="120">
        <f t="shared" si="15"/>
        <v>0</v>
      </c>
      <c r="AI27" s="121"/>
      <c r="AJ27" s="122"/>
      <c r="AK27" s="123"/>
      <c r="AL27" s="71"/>
      <c r="AM27" s="71"/>
      <c r="AN27" s="123"/>
      <c r="AO27" s="123"/>
      <c r="AP27" s="71"/>
      <c r="AQ27" s="123"/>
      <c r="AR27" s="71"/>
      <c r="AS27" s="104">
        <f t="shared" si="16"/>
        <v>0</v>
      </c>
      <c r="AT27" s="103"/>
      <c r="AU27" s="107">
        <v>1</v>
      </c>
      <c r="AV27" s="71">
        <v>1</v>
      </c>
      <c r="AW27" s="70"/>
      <c r="AX27" s="104">
        <f t="shared" si="22"/>
        <v>2</v>
      </c>
      <c r="AY27" s="104">
        <f t="shared" si="18"/>
        <v>2</v>
      </c>
      <c r="AZ27" s="104"/>
      <c r="BA27" s="71"/>
      <c r="BB27" s="71"/>
      <c r="BC27" s="104">
        <f t="shared" si="19"/>
        <v>0</v>
      </c>
      <c r="BD27" s="104"/>
      <c r="BE27" s="107"/>
      <c r="BF27" s="137">
        <f t="shared" si="20"/>
        <v>0</v>
      </c>
      <c r="BG27" s="137"/>
      <c r="BH27" s="136">
        <v>6</v>
      </c>
    </row>
    <row r="28" s="57" customFormat="1" ht="30" customHeight="1" spans="1:60">
      <c r="A28" s="72" t="s">
        <v>127</v>
      </c>
      <c r="B28" s="68" t="s">
        <v>331</v>
      </c>
      <c r="C28" s="69"/>
      <c r="D28" s="70"/>
      <c r="E28" s="71"/>
      <c r="F28" s="70"/>
      <c r="G28" s="71">
        <v>3</v>
      </c>
      <c r="H28" s="70"/>
      <c r="I28" s="71">
        <v>3</v>
      </c>
      <c r="J28" s="70"/>
      <c r="K28" s="71">
        <v>3</v>
      </c>
      <c r="L28" s="104">
        <f t="shared" si="11"/>
        <v>9</v>
      </c>
      <c r="M28" s="107">
        <v>3</v>
      </c>
      <c r="N28" s="103"/>
      <c r="O28" s="71">
        <v>1.5</v>
      </c>
      <c r="P28" s="70"/>
      <c r="Q28" s="71">
        <v>3</v>
      </c>
      <c r="R28" s="70"/>
      <c r="S28" s="70"/>
      <c r="T28" s="71">
        <v>1.5</v>
      </c>
      <c r="U28" s="70"/>
      <c r="V28" s="71">
        <v>3</v>
      </c>
      <c r="W28" s="104">
        <f t="shared" si="12"/>
        <v>12</v>
      </c>
      <c r="X28" s="105"/>
      <c r="Y28" s="109">
        <v>3</v>
      </c>
      <c r="Z28" s="70"/>
      <c r="AA28" s="71">
        <v>3</v>
      </c>
      <c r="AB28" s="104">
        <f t="shared" si="13"/>
        <v>6</v>
      </c>
      <c r="AC28" s="114">
        <f t="shared" si="14"/>
        <v>27</v>
      </c>
      <c r="AD28" s="71"/>
      <c r="AE28" s="71"/>
      <c r="AF28" s="71"/>
      <c r="AG28" s="71"/>
      <c r="AH28" s="120">
        <f t="shared" si="15"/>
        <v>0</v>
      </c>
      <c r="AI28" s="121"/>
      <c r="AJ28" s="122"/>
      <c r="AK28" s="123"/>
      <c r="AL28" s="71"/>
      <c r="AM28" s="71"/>
      <c r="AN28" s="123"/>
      <c r="AO28" s="123"/>
      <c r="AP28" s="71"/>
      <c r="AQ28" s="123"/>
      <c r="AR28" s="71"/>
      <c r="AS28" s="104">
        <f t="shared" si="16"/>
        <v>0</v>
      </c>
      <c r="AT28" s="103"/>
      <c r="AU28" s="107"/>
      <c r="AV28" s="71"/>
      <c r="AW28" s="70"/>
      <c r="AX28" s="104">
        <f t="shared" si="22"/>
        <v>0</v>
      </c>
      <c r="AY28" s="104">
        <f t="shared" si="18"/>
        <v>0</v>
      </c>
      <c r="AZ28" s="104"/>
      <c r="BA28" s="71"/>
      <c r="BB28" s="71"/>
      <c r="BC28" s="104">
        <f t="shared" si="19"/>
        <v>0</v>
      </c>
      <c r="BD28" s="104"/>
      <c r="BE28" s="104"/>
      <c r="BF28" s="137">
        <f t="shared" si="20"/>
        <v>0</v>
      </c>
      <c r="BG28" s="137"/>
      <c r="BH28" s="136">
        <f>BI29+SUM(AC28,AY28,BC28,BF28)</f>
        <v>27</v>
      </c>
    </row>
    <row r="29" s="57" customFormat="1" ht="24" spans="1:60">
      <c r="A29" s="79" t="s">
        <v>332</v>
      </c>
      <c r="B29" s="68" t="s">
        <v>331</v>
      </c>
      <c r="C29" s="69"/>
      <c r="D29" s="70"/>
      <c r="E29" s="71"/>
      <c r="F29" s="70"/>
      <c r="G29" s="71"/>
      <c r="H29" s="70">
        <v>3</v>
      </c>
      <c r="I29" s="71"/>
      <c r="J29" s="70">
        <v>3</v>
      </c>
      <c r="K29" s="71"/>
      <c r="L29" s="104">
        <f t="shared" si="11"/>
        <v>6</v>
      </c>
      <c r="M29" s="107"/>
      <c r="N29" s="103">
        <v>3</v>
      </c>
      <c r="O29" s="71"/>
      <c r="P29" s="70">
        <v>1.5</v>
      </c>
      <c r="Q29" s="71"/>
      <c r="R29" s="70">
        <v>3</v>
      </c>
      <c r="S29" s="70">
        <v>1.5</v>
      </c>
      <c r="T29" s="71"/>
      <c r="U29" s="70">
        <v>3</v>
      </c>
      <c r="V29" s="71"/>
      <c r="W29" s="104">
        <f t="shared" si="12"/>
        <v>12</v>
      </c>
      <c r="X29" s="103">
        <v>3</v>
      </c>
      <c r="Y29" s="109"/>
      <c r="Z29" s="70">
        <v>3</v>
      </c>
      <c r="AA29" s="71"/>
      <c r="AB29" s="104">
        <f t="shared" si="13"/>
        <v>6</v>
      </c>
      <c r="AC29" s="114">
        <f t="shared" si="14"/>
        <v>24</v>
      </c>
      <c r="AD29" s="71"/>
      <c r="AE29" s="71"/>
      <c r="AF29" s="71"/>
      <c r="AG29" s="71"/>
      <c r="AH29" s="120">
        <f t="shared" si="15"/>
        <v>0</v>
      </c>
      <c r="AI29" s="121"/>
      <c r="AJ29" s="122"/>
      <c r="AK29" s="123"/>
      <c r="AL29" s="71"/>
      <c r="AM29" s="71"/>
      <c r="AN29" s="123"/>
      <c r="AO29" s="123"/>
      <c r="AP29" s="71"/>
      <c r="AQ29" s="123"/>
      <c r="AR29" s="71"/>
      <c r="AS29" s="104">
        <f t="shared" si="16"/>
        <v>0</v>
      </c>
      <c r="AT29" s="103"/>
      <c r="AU29" s="107"/>
      <c r="AV29" s="71"/>
      <c r="AW29" s="70"/>
      <c r="AX29" s="104">
        <f t="shared" si="22"/>
        <v>0</v>
      </c>
      <c r="AY29" s="104">
        <f t="shared" si="18"/>
        <v>0</v>
      </c>
      <c r="AZ29" s="104"/>
      <c r="BA29" s="71"/>
      <c r="BB29" s="71"/>
      <c r="BC29" s="104">
        <f t="shared" si="19"/>
        <v>0</v>
      </c>
      <c r="BD29" s="104"/>
      <c r="BE29" s="104"/>
      <c r="BF29" s="137">
        <f t="shared" si="20"/>
        <v>0</v>
      </c>
      <c r="BG29" s="137"/>
      <c r="BH29" s="136">
        <f>BI30+SUM(AC29,AY29,BC29,BF29)</f>
        <v>24</v>
      </c>
    </row>
    <row r="30" s="57" customFormat="1" ht="27" customHeight="1" spans="1:60">
      <c r="A30" s="84" t="s">
        <v>136</v>
      </c>
      <c r="B30" s="68" t="s">
        <v>137</v>
      </c>
      <c r="C30" s="69"/>
      <c r="D30" s="70"/>
      <c r="E30" s="71"/>
      <c r="F30" s="70"/>
      <c r="G30" s="71"/>
      <c r="H30" s="70"/>
      <c r="I30" s="71"/>
      <c r="J30" s="70"/>
      <c r="K30" s="71"/>
      <c r="L30" s="104">
        <f t="shared" si="11"/>
        <v>0</v>
      </c>
      <c r="M30" s="107"/>
      <c r="N30" s="103"/>
      <c r="O30" s="71"/>
      <c r="P30" s="70"/>
      <c r="Q30" s="71">
        <v>1</v>
      </c>
      <c r="R30" s="70">
        <v>1</v>
      </c>
      <c r="S30" s="70">
        <v>1</v>
      </c>
      <c r="T30" s="71">
        <v>1</v>
      </c>
      <c r="U30" s="70">
        <v>2</v>
      </c>
      <c r="V30" s="71">
        <v>2</v>
      </c>
      <c r="W30" s="104">
        <f t="shared" si="12"/>
        <v>8</v>
      </c>
      <c r="X30" s="103">
        <v>2</v>
      </c>
      <c r="Y30" s="109">
        <v>2</v>
      </c>
      <c r="Z30" s="70">
        <v>2</v>
      </c>
      <c r="AA30" s="71">
        <v>2</v>
      </c>
      <c r="AB30" s="104">
        <f t="shared" si="13"/>
        <v>8</v>
      </c>
      <c r="AC30" s="114">
        <f t="shared" si="14"/>
        <v>16</v>
      </c>
      <c r="AD30" s="71"/>
      <c r="AE30" s="71"/>
      <c r="AF30" s="71"/>
      <c r="AG30" s="71"/>
      <c r="AH30" s="120">
        <f t="shared" si="15"/>
        <v>0</v>
      </c>
      <c r="AI30" s="121"/>
      <c r="AJ30" s="122"/>
      <c r="AK30" s="123"/>
      <c r="AL30" s="71"/>
      <c r="AM30" s="71"/>
      <c r="AN30" s="123"/>
      <c r="AO30" s="123"/>
      <c r="AP30" s="71"/>
      <c r="AQ30" s="123"/>
      <c r="AR30" s="71"/>
      <c r="AS30" s="104">
        <f t="shared" si="16"/>
        <v>0</v>
      </c>
      <c r="AT30" s="103"/>
      <c r="AU30" s="107"/>
      <c r="AV30" s="71"/>
      <c r="AW30" s="70"/>
      <c r="AX30" s="104">
        <f t="shared" si="22"/>
        <v>0</v>
      </c>
      <c r="AY30" s="104">
        <f t="shared" si="18"/>
        <v>0</v>
      </c>
      <c r="AZ30" s="104"/>
      <c r="BA30" s="71"/>
      <c r="BB30" s="71"/>
      <c r="BC30" s="104">
        <f t="shared" si="19"/>
        <v>0</v>
      </c>
      <c r="BD30" s="107">
        <v>1</v>
      </c>
      <c r="BE30" s="107"/>
      <c r="BF30" s="137">
        <f t="shared" si="20"/>
        <v>1</v>
      </c>
      <c r="BG30" s="104"/>
      <c r="BH30" s="136">
        <f>BI31+SUM(AC30,AY30,BC30,BF30)</f>
        <v>17</v>
      </c>
    </row>
    <row r="31" s="57" customFormat="1" ht="28" customHeight="1" spans="1:60">
      <c r="A31" s="85" t="s">
        <v>165</v>
      </c>
      <c r="B31" s="68" t="s">
        <v>100</v>
      </c>
      <c r="C31" s="69"/>
      <c r="D31" s="70"/>
      <c r="E31" s="71"/>
      <c r="F31" s="70"/>
      <c r="G31" s="71"/>
      <c r="H31" s="70"/>
      <c r="I31" s="71"/>
      <c r="J31" s="70"/>
      <c r="K31" s="71"/>
      <c r="L31" s="104">
        <f t="shared" si="11"/>
        <v>0</v>
      </c>
      <c r="M31" s="107"/>
      <c r="N31" s="103"/>
      <c r="O31" s="71"/>
      <c r="P31" s="70"/>
      <c r="Q31" s="71">
        <v>2</v>
      </c>
      <c r="R31" s="70"/>
      <c r="S31" s="70"/>
      <c r="T31" s="71">
        <v>1</v>
      </c>
      <c r="U31" s="70"/>
      <c r="V31" s="71">
        <v>2</v>
      </c>
      <c r="W31" s="104">
        <f t="shared" si="12"/>
        <v>5</v>
      </c>
      <c r="X31" s="103"/>
      <c r="Y31" s="109">
        <v>2</v>
      </c>
      <c r="Z31" s="70"/>
      <c r="AA31" s="71">
        <v>2</v>
      </c>
      <c r="AB31" s="104">
        <f t="shared" si="13"/>
        <v>4</v>
      </c>
      <c r="AC31" s="114">
        <f t="shared" si="14"/>
        <v>9</v>
      </c>
      <c r="AD31" s="71"/>
      <c r="AE31" s="71"/>
      <c r="AF31" s="71"/>
      <c r="AG31" s="71"/>
      <c r="AH31" s="120">
        <f t="shared" si="15"/>
        <v>0</v>
      </c>
      <c r="AI31" s="121"/>
      <c r="AJ31" s="122"/>
      <c r="AK31" s="123"/>
      <c r="AL31" s="71"/>
      <c r="AM31" s="131"/>
      <c r="AN31" s="123"/>
      <c r="AO31" s="123"/>
      <c r="AP31" s="71"/>
      <c r="AQ31" s="123"/>
      <c r="AR31" s="71"/>
      <c r="AS31" s="104">
        <f t="shared" si="16"/>
        <v>0</v>
      </c>
      <c r="AT31" s="103"/>
      <c r="AU31" s="107"/>
      <c r="AV31" s="71">
        <v>1</v>
      </c>
      <c r="AW31" s="70"/>
      <c r="AX31" s="104">
        <f t="shared" si="22"/>
        <v>1</v>
      </c>
      <c r="AY31" s="104">
        <f t="shared" si="18"/>
        <v>1</v>
      </c>
      <c r="AZ31" s="104"/>
      <c r="BA31" s="71"/>
      <c r="BB31" s="71"/>
      <c r="BC31" s="104">
        <f t="shared" si="19"/>
        <v>0</v>
      </c>
      <c r="BD31" s="107"/>
      <c r="BE31" s="107">
        <v>1</v>
      </c>
      <c r="BF31" s="137">
        <f t="shared" si="20"/>
        <v>1</v>
      </c>
      <c r="BG31" s="104"/>
      <c r="BH31" s="136">
        <f>BI32+SUM(AC31,AY31,BC31,BF31)</f>
        <v>11</v>
      </c>
    </row>
    <row r="32" s="57" customFormat="1" ht="26.15" customHeight="1" spans="1:60">
      <c r="A32" s="86" t="s">
        <v>333</v>
      </c>
      <c r="B32" s="68" t="s">
        <v>334</v>
      </c>
      <c r="C32" s="69"/>
      <c r="D32" s="70">
        <v>2</v>
      </c>
      <c r="E32" s="71"/>
      <c r="F32" s="70">
        <v>3</v>
      </c>
      <c r="G32" s="71"/>
      <c r="H32" s="73">
        <v>6</v>
      </c>
      <c r="I32" s="71"/>
      <c r="J32" s="70">
        <v>4</v>
      </c>
      <c r="K32" s="71"/>
      <c r="L32" s="104">
        <f t="shared" si="11"/>
        <v>15</v>
      </c>
      <c r="M32" s="107"/>
      <c r="N32" s="103">
        <v>4</v>
      </c>
      <c r="O32" s="71">
        <v>2.5</v>
      </c>
      <c r="P32" s="70"/>
      <c r="Q32" s="71"/>
      <c r="R32" s="70"/>
      <c r="S32" s="70"/>
      <c r="T32" s="71"/>
      <c r="U32" s="70"/>
      <c r="V32" s="71"/>
      <c r="W32" s="104">
        <f t="shared" si="12"/>
        <v>6.5</v>
      </c>
      <c r="X32" s="103"/>
      <c r="Y32" s="109"/>
      <c r="Z32" s="70"/>
      <c r="AA32" s="71"/>
      <c r="AB32" s="104">
        <f t="shared" si="13"/>
        <v>0</v>
      </c>
      <c r="AC32" s="114">
        <f t="shared" si="14"/>
        <v>21.5</v>
      </c>
      <c r="AD32" s="71"/>
      <c r="AE32" s="71"/>
      <c r="AF32" s="71"/>
      <c r="AG32" s="71"/>
      <c r="AH32" s="120">
        <f t="shared" si="15"/>
        <v>0</v>
      </c>
      <c r="AI32" s="121"/>
      <c r="AJ32" s="122"/>
      <c r="AK32" s="123"/>
      <c r="AL32" s="71"/>
      <c r="AM32" s="131"/>
      <c r="AN32" s="123"/>
      <c r="AO32" s="123"/>
      <c r="AP32" s="71"/>
      <c r="AQ32" s="123"/>
      <c r="AR32" s="71"/>
      <c r="AS32" s="104">
        <f t="shared" si="16"/>
        <v>0</v>
      </c>
      <c r="AT32" s="103"/>
      <c r="AU32" s="107"/>
      <c r="AV32" s="71"/>
      <c r="AW32" s="70"/>
      <c r="AX32" s="104">
        <f t="shared" si="22"/>
        <v>0</v>
      </c>
      <c r="AY32" s="104">
        <f t="shared" si="18"/>
        <v>0</v>
      </c>
      <c r="AZ32" s="104"/>
      <c r="BA32" s="71"/>
      <c r="BB32" s="71"/>
      <c r="BC32" s="104">
        <f t="shared" si="19"/>
        <v>0</v>
      </c>
      <c r="BD32" s="104"/>
      <c r="BE32" s="104"/>
      <c r="BF32" s="137">
        <f t="shared" si="20"/>
        <v>0</v>
      </c>
      <c r="BG32" s="104"/>
      <c r="BH32" s="136">
        <f t="shared" ref="BH32:BH33" si="23">BI34+SUM(AC32,AY32,BC32,BF32)</f>
        <v>21.5</v>
      </c>
    </row>
    <row r="33" s="57" customFormat="1" ht="25" customHeight="1" spans="1:60">
      <c r="A33" s="72" t="s">
        <v>335</v>
      </c>
      <c r="B33" s="68" t="s">
        <v>334</v>
      </c>
      <c r="C33" s="69"/>
      <c r="D33" s="70"/>
      <c r="E33" s="71"/>
      <c r="F33" s="70"/>
      <c r="G33" s="71"/>
      <c r="H33" s="70"/>
      <c r="I33" s="71"/>
      <c r="J33" s="70"/>
      <c r="K33" s="71">
        <v>7</v>
      </c>
      <c r="L33" s="104">
        <f t="shared" si="11"/>
        <v>7</v>
      </c>
      <c r="M33" s="107"/>
      <c r="N33" s="103"/>
      <c r="O33" s="71"/>
      <c r="P33" s="70">
        <v>2</v>
      </c>
      <c r="Q33" s="71"/>
      <c r="R33" s="70">
        <v>4</v>
      </c>
      <c r="S33" s="70">
        <v>2</v>
      </c>
      <c r="T33" s="71"/>
      <c r="U33" s="70">
        <v>4</v>
      </c>
      <c r="V33" s="71"/>
      <c r="W33" s="104">
        <f t="shared" si="12"/>
        <v>12</v>
      </c>
      <c r="X33" s="103">
        <v>4</v>
      </c>
      <c r="Y33" s="109"/>
      <c r="Z33" s="70"/>
      <c r="AA33" s="71"/>
      <c r="AB33" s="104">
        <f t="shared" si="13"/>
        <v>4</v>
      </c>
      <c r="AC33" s="114">
        <f t="shared" si="14"/>
        <v>23</v>
      </c>
      <c r="AD33" s="71"/>
      <c r="AE33" s="71"/>
      <c r="AF33" s="71"/>
      <c r="AG33" s="71"/>
      <c r="AH33" s="120">
        <f t="shared" si="15"/>
        <v>0</v>
      </c>
      <c r="AI33" s="121"/>
      <c r="AJ33" s="122"/>
      <c r="AK33" s="123"/>
      <c r="AL33" s="71"/>
      <c r="AM33" s="71"/>
      <c r="AN33" s="123"/>
      <c r="AO33" s="123"/>
      <c r="AP33" s="71"/>
      <c r="AQ33" s="123"/>
      <c r="AR33" s="71"/>
      <c r="AS33" s="104">
        <f t="shared" si="16"/>
        <v>0</v>
      </c>
      <c r="AT33" s="103"/>
      <c r="AU33" s="107"/>
      <c r="AV33" s="71"/>
      <c r="AW33" s="70"/>
      <c r="AX33" s="104">
        <f t="shared" si="22"/>
        <v>0</v>
      </c>
      <c r="AY33" s="104">
        <f t="shared" si="18"/>
        <v>0</v>
      </c>
      <c r="AZ33" s="104"/>
      <c r="BA33" s="71"/>
      <c r="BB33" s="71"/>
      <c r="BC33" s="104">
        <f t="shared" si="19"/>
        <v>0</v>
      </c>
      <c r="BD33" s="104"/>
      <c r="BE33" s="104"/>
      <c r="BF33" s="137">
        <f t="shared" si="20"/>
        <v>0</v>
      </c>
      <c r="BG33" s="104"/>
      <c r="BH33" s="136">
        <f t="shared" si="23"/>
        <v>23</v>
      </c>
    </row>
    <row r="34" s="57" customFormat="1" ht="24" spans="1:60">
      <c r="A34" s="72" t="s">
        <v>336</v>
      </c>
      <c r="B34" s="68" t="s">
        <v>125</v>
      </c>
      <c r="C34" s="69"/>
      <c r="D34" s="70"/>
      <c r="E34" s="71"/>
      <c r="F34" s="70"/>
      <c r="G34" s="71"/>
      <c r="H34" s="70"/>
      <c r="I34" s="71"/>
      <c r="J34" s="70"/>
      <c r="K34" s="71"/>
      <c r="L34" s="104">
        <f t="shared" si="11"/>
        <v>0</v>
      </c>
      <c r="M34" s="107"/>
      <c r="N34" s="105"/>
      <c r="O34" s="71">
        <v>1.5</v>
      </c>
      <c r="P34" s="70"/>
      <c r="Q34" s="71">
        <v>3</v>
      </c>
      <c r="R34" s="70"/>
      <c r="S34" s="70"/>
      <c r="T34" s="71">
        <v>1.5</v>
      </c>
      <c r="U34" s="70"/>
      <c r="V34" s="71">
        <v>4</v>
      </c>
      <c r="W34" s="104">
        <f t="shared" si="12"/>
        <v>10</v>
      </c>
      <c r="X34" s="103"/>
      <c r="Y34" s="109"/>
      <c r="Z34" s="70"/>
      <c r="AA34" s="71"/>
      <c r="AB34" s="104">
        <f t="shared" si="13"/>
        <v>0</v>
      </c>
      <c r="AC34" s="114">
        <f t="shared" si="14"/>
        <v>10</v>
      </c>
      <c r="AD34" s="71"/>
      <c r="AE34" s="71"/>
      <c r="AF34" s="71"/>
      <c r="AG34" s="71"/>
      <c r="AH34" s="120">
        <f t="shared" si="15"/>
        <v>0</v>
      </c>
      <c r="AI34" s="121">
        <v>0.5</v>
      </c>
      <c r="AJ34" s="122"/>
      <c r="AK34" s="123"/>
      <c r="AL34" s="71">
        <v>0.25</v>
      </c>
      <c r="AM34" s="71">
        <v>0.5</v>
      </c>
      <c r="AN34" s="123"/>
      <c r="AO34" s="123"/>
      <c r="AP34" s="71">
        <v>0.25</v>
      </c>
      <c r="AQ34" s="123"/>
      <c r="AR34" s="71">
        <v>1</v>
      </c>
      <c r="AS34" s="104">
        <f t="shared" si="16"/>
        <v>2.5</v>
      </c>
      <c r="AT34" s="103"/>
      <c r="AU34" s="107"/>
      <c r="AV34" s="71"/>
      <c r="AW34" s="70"/>
      <c r="AX34" s="104">
        <f t="shared" si="22"/>
        <v>0</v>
      </c>
      <c r="AY34" s="104">
        <f t="shared" si="18"/>
        <v>2.5</v>
      </c>
      <c r="AZ34" s="104"/>
      <c r="BA34" s="71"/>
      <c r="BB34" s="71"/>
      <c r="BC34" s="104">
        <f t="shared" si="19"/>
        <v>0</v>
      </c>
      <c r="BD34" s="104"/>
      <c r="BE34" s="104"/>
      <c r="BF34" s="137">
        <f t="shared" si="20"/>
        <v>0</v>
      </c>
      <c r="BG34" s="104"/>
      <c r="BH34" s="136">
        <f>BI37+SUM(AC34,AY34,BC34,BF34)</f>
        <v>12.5</v>
      </c>
    </row>
    <row r="35" s="57" customFormat="1" ht="27" customHeight="1" spans="1:60">
      <c r="A35" s="72" t="s">
        <v>124</v>
      </c>
      <c r="B35" s="87" t="s">
        <v>125</v>
      </c>
      <c r="C35" s="69"/>
      <c r="D35" s="70"/>
      <c r="E35" s="71"/>
      <c r="F35" s="70"/>
      <c r="G35" s="71"/>
      <c r="H35" s="70"/>
      <c r="I35" s="71"/>
      <c r="J35" s="70"/>
      <c r="K35" s="71"/>
      <c r="L35" s="104">
        <f t="shared" si="11"/>
        <v>0</v>
      </c>
      <c r="M35" s="107">
        <v>3</v>
      </c>
      <c r="N35" s="105"/>
      <c r="O35" s="107"/>
      <c r="P35" s="58"/>
      <c r="Q35" s="104"/>
      <c r="R35" s="70"/>
      <c r="S35" s="70"/>
      <c r="T35" s="104"/>
      <c r="U35" s="70"/>
      <c r="V35" s="71"/>
      <c r="W35" s="104">
        <f t="shared" si="12"/>
        <v>3</v>
      </c>
      <c r="X35" s="103"/>
      <c r="Y35" s="109">
        <v>4</v>
      </c>
      <c r="Z35" s="70"/>
      <c r="AA35" s="71">
        <v>4</v>
      </c>
      <c r="AB35" s="104">
        <f t="shared" si="13"/>
        <v>8</v>
      </c>
      <c r="AC35" s="114">
        <f t="shared" si="14"/>
        <v>11</v>
      </c>
      <c r="AD35" s="71"/>
      <c r="AE35" s="71"/>
      <c r="AF35" s="71"/>
      <c r="AG35" s="71"/>
      <c r="AH35" s="120">
        <f t="shared" si="15"/>
        <v>0</v>
      </c>
      <c r="AI35" s="121"/>
      <c r="AJ35" s="122"/>
      <c r="AK35" s="123"/>
      <c r="AL35" s="71"/>
      <c r="AM35" s="131"/>
      <c r="AN35" s="123"/>
      <c r="AO35" s="123"/>
      <c r="AP35" s="71"/>
      <c r="AQ35" s="123"/>
      <c r="AR35" s="71"/>
      <c r="AS35" s="104">
        <f t="shared" si="16"/>
        <v>0</v>
      </c>
      <c r="AT35" s="103"/>
      <c r="AU35" s="107"/>
      <c r="AV35" s="71"/>
      <c r="AW35" s="70"/>
      <c r="AX35" s="104">
        <f t="shared" si="22"/>
        <v>0</v>
      </c>
      <c r="AY35" s="104">
        <f t="shared" si="18"/>
        <v>0</v>
      </c>
      <c r="AZ35" s="104"/>
      <c r="BA35" s="71"/>
      <c r="BB35" s="71"/>
      <c r="BC35" s="104">
        <f t="shared" si="19"/>
        <v>0</v>
      </c>
      <c r="BD35" s="104"/>
      <c r="BE35" s="104"/>
      <c r="BF35" s="137">
        <f t="shared" si="20"/>
        <v>0</v>
      </c>
      <c r="BG35" s="104"/>
      <c r="BH35" s="136">
        <f>BI37+SUM(AC35,AY35,BC35,BF35)</f>
        <v>11</v>
      </c>
    </row>
    <row r="36" s="57" customFormat="1" ht="23.25" spans="1:60">
      <c r="A36" s="79" t="s">
        <v>337</v>
      </c>
      <c r="B36" s="88"/>
      <c r="C36" s="89"/>
      <c r="D36" s="70"/>
      <c r="E36" s="71"/>
      <c r="F36" s="70"/>
      <c r="G36" s="71"/>
      <c r="H36" s="70"/>
      <c r="I36" s="71"/>
      <c r="J36" s="70"/>
      <c r="K36" s="71"/>
      <c r="L36" s="104">
        <f t="shared" si="11"/>
        <v>0</v>
      </c>
      <c r="M36" s="104"/>
      <c r="N36" s="105"/>
      <c r="O36" s="104"/>
      <c r="P36" s="70"/>
      <c r="Q36" s="104"/>
      <c r="R36" s="70"/>
      <c r="S36" s="70">
        <v>0.5</v>
      </c>
      <c r="T36" s="78">
        <v>0.5</v>
      </c>
      <c r="U36" s="70">
        <v>1</v>
      </c>
      <c r="V36" s="71">
        <v>1</v>
      </c>
      <c r="W36" s="104">
        <f t="shared" si="12"/>
        <v>3</v>
      </c>
      <c r="X36" s="103">
        <v>1</v>
      </c>
      <c r="Y36" s="109">
        <v>1</v>
      </c>
      <c r="Z36" s="70">
        <v>1</v>
      </c>
      <c r="AA36" s="71">
        <v>1</v>
      </c>
      <c r="AB36" s="104">
        <f t="shared" si="13"/>
        <v>4</v>
      </c>
      <c r="AC36" s="113">
        <f t="shared" si="14"/>
        <v>7</v>
      </c>
      <c r="AD36" s="71"/>
      <c r="AE36" s="71"/>
      <c r="AF36" s="71"/>
      <c r="AG36" s="71"/>
      <c r="AH36" s="120">
        <f t="shared" si="15"/>
        <v>0</v>
      </c>
      <c r="AI36" s="121"/>
      <c r="AJ36" s="122"/>
      <c r="AK36" s="123"/>
      <c r="AL36" s="71"/>
      <c r="AM36" s="131"/>
      <c r="AN36" s="123"/>
      <c r="AO36" s="123"/>
      <c r="AP36" s="71"/>
      <c r="AQ36" s="123"/>
      <c r="AR36" s="71"/>
      <c r="AS36" s="104">
        <f t="shared" si="16"/>
        <v>0</v>
      </c>
      <c r="AT36" s="103">
        <v>1</v>
      </c>
      <c r="AU36" s="107"/>
      <c r="AV36" s="71"/>
      <c r="AW36" s="70">
        <v>1</v>
      </c>
      <c r="AX36" s="104">
        <f>SUM(AT36:AW36)</f>
        <v>2</v>
      </c>
      <c r="AY36" s="104">
        <f t="shared" si="18"/>
        <v>2</v>
      </c>
      <c r="AZ36" s="104"/>
      <c r="BA36" s="71"/>
      <c r="BB36" s="71"/>
      <c r="BC36" s="104">
        <f t="shared" si="19"/>
        <v>0</v>
      </c>
      <c r="BD36" s="104"/>
      <c r="BE36" s="104"/>
      <c r="BF36" s="137">
        <f t="shared" si="20"/>
        <v>0</v>
      </c>
      <c r="BG36" s="104"/>
      <c r="BH36" s="136">
        <f>BI38+SUM(AC36,AY36,BC36,BF36)</f>
        <v>9</v>
      </c>
    </row>
    <row r="37" s="57" customFormat="1" ht="24" spans="1:60">
      <c r="A37" s="90" t="s">
        <v>338</v>
      </c>
      <c r="B37" s="91"/>
      <c r="C37" s="92"/>
      <c r="D37" s="93">
        <f t="shared" ref="D37:R37" si="24">SUM(D4:D35)</f>
        <v>21</v>
      </c>
      <c r="E37" s="94">
        <f t="shared" si="24"/>
        <v>19</v>
      </c>
      <c r="F37" s="93">
        <f t="shared" si="24"/>
        <v>24</v>
      </c>
      <c r="G37" s="95">
        <f t="shared" si="24"/>
        <v>23</v>
      </c>
      <c r="H37" s="96">
        <f t="shared" si="24"/>
        <v>32</v>
      </c>
      <c r="I37" s="95">
        <f t="shared" si="24"/>
        <v>25</v>
      </c>
      <c r="J37" s="96">
        <f t="shared" si="24"/>
        <v>27</v>
      </c>
      <c r="K37" s="95">
        <f t="shared" si="24"/>
        <v>25</v>
      </c>
      <c r="L37" s="95">
        <f t="shared" si="24"/>
        <v>196</v>
      </c>
      <c r="M37" s="94">
        <f t="shared" si="24"/>
        <v>27</v>
      </c>
      <c r="N37" s="93">
        <f>SUM(N8:N36)</f>
        <v>28</v>
      </c>
      <c r="O37" s="95">
        <f>SUM(O5:O36)</f>
        <v>13.5</v>
      </c>
      <c r="P37" s="70">
        <f>SUM(P8:P34)</f>
        <v>14</v>
      </c>
      <c r="Q37" s="94">
        <f t="shared" si="24"/>
        <v>31</v>
      </c>
      <c r="R37" s="96">
        <f t="shared" si="24"/>
        <v>32</v>
      </c>
      <c r="S37" s="70">
        <v>16.5</v>
      </c>
      <c r="T37" s="94">
        <f t="shared" ref="T37:AC37" si="25">SUM(T4:T36)</f>
        <v>16</v>
      </c>
      <c r="U37" s="93">
        <f>SUM(U10:U36)</f>
        <v>34</v>
      </c>
      <c r="V37" s="95">
        <f t="shared" si="25"/>
        <v>33</v>
      </c>
      <c r="W37" s="94">
        <f t="shared" si="25"/>
        <v>245</v>
      </c>
      <c r="X37" s="96">
        <f t="shared" si="25"/>
        <v>34</v>
      </c>
      <c r="Y37" s="115">
        <f t="shared" si="25"/>
        <v>32</v>
      </c>
      <c r="Z37" s="96">
        <f t="shared" si="25"/>
        <v>34</v>
      </c>
      <c r="AA37" s="115">
        <f t="shared" si="25"/>
        <v>32</v>
      </c>
      <c r="AB37" s="115">
        <f t="shared" si="25"/>
        <v>132</v>
      </c>
      <c r="AC37" s="96">
        <f t="shared" si="25"/>
        <v>573</v>
      </c>
      <c r="AD37" s="71">
        <f>SUM(AD5:AD36)</f>
        <v>1</v>
      </c>
      <c r="AE37" s="71">
        <f>SUM(AE5:AE36)</f>
        <v>1</v>
      </c>
      <c r="AF37" s="96">
        <f t="shared" ref="AF37:AV37" si="26">SUM(AF4:AF36)</f>
        <v>1</v>
      </c>
      <c r="AG37" s="96">
        <f t="shared" si="26"/>
        <v>1</v>
      </c>
      <c r="AH37" s="96">
        <f t="shared" si="26"/>
        <v>4</v>
      </c>
      <c r="AI37" s="132">
        <f t="shared" si="26"/>
        <v>0.5</v>
      </c>
      <c r="AJ37" s="132">
        <f t="shared" si="26"/>
        <v>0.5</v>
      </c>
      <c r="AK37" s="132">
        <f t="shared" si="26"/>
        <v>0.25</v>
      </c>
      <c r="AL37" s="132">
        <f t="shared" si="26"/>
        <v>0.25</v>
      </c>
      <c r="AM37" s="132">
        <f t="shared" si="26"/>
        <v>0.5</v>
      </c>
      <c r="AN37" s="132">
        <f t="shared" si="26"/>
        <v>0.5</v>
      </c>
      <c r="AO37" s="132">
        <f t="shared" si="26"/>
        <v>0.25</v>
      </c>
      <c r="AP37" s="132">
        <f t="shared" si="26"/>
        <v>0.25</v>
      </c>
      <c r="AQ37" s="132">
        <f t="shared" si="26"/>
        <v>1</v>
      </c>
      <c r="AR37" s="132">
        <f t="shared" si="26"/>
        <v>1</v>
      </c>
      <c r="AS37" s="96">
        <f t="shared" si="26"/>
        <v>5</v>
      </c>
      <c r="AT37" s="96">
        <f t="shared" si="26"/>
        <v>2</v>
      </c>
      <c r="AU37" s="96">
        <f t="shared" si="26"/>
        <v>2</v>
      </c>
      <c r="AV37" s="96">
        <f t="shared" si="26"/>
        <v>2</v>
      </c>
      <c r="AW37" s="96">
        <f>SUM(AW11:AW36)</f>
        <v>2</v>
      </c>
      <c r="AX37" s="96">
        <f t="shared" ref="AX37:BH37" si="27">SUM(AX4:AX36)</f>
        <v>8</v>
      </c>
      <c r="AY37" s="96">
        <f t="shared" si="27"/>
        <v>17</v>
      </c>
      <c r="AZ37" s="96">
        <f t="shared" si="27"/>
        <v>0</v>
      </c>
      <c r="BA37" s="96">
        <f t="shared" si="27"/>
        <v>0</v>
      </c>
      <c r="BB37" s="96">
        <f t="shared" si="27"/>
        <v>0</v>
      </c>
      <c r="BC37" s="96">
        <f t="shared" si="27"/>
        <v>0</v>
      </c>
      <c r="BD37" s="96">
        <f t="shared" si="27"/>
        <v>1</v>
      </c>
      <c r="BE37" s="96">
        <f t="shared" si="27"/>
        <v>1</v>
      </c>
      <c r="BF37" s="96">
        <f t="shared" si="27"/>
        <v>2</v>
      </c>
      <c r="BG37" s="96">
        <f t="shared" si="27"/>
        <v>0</v>
      </c>
      <c r="BH37" s="96">
        <f t="shared" si="27"/>
        <v>592</v>
      </c>
    </row>
    <row r="38" s="57" customFormat="1" ht="23.25" spans="1:59">
      <c r="A38" s="97" t="s">
        <v>339</v>
      </c>
      <c r="B38" s="97"/>
      <c r="C38" s="98" t="s">
        <v>16</v>
      </c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116" t="s">
        <v>340</v>
      </c>
      <c r="Z38" s="116"/>
      <c r="AA38" s="99"/>
      <c r="AB38" s="98"/>
      <c r="AC38" s="98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</row>
    <row r="39" s="57" customFormat="1" ht="23.25" spans="1:59">
      <c r="A39" s="97"/>
      <c r="B39" s="97"/>
      <c r="C39" s="98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116"/>
      <c r="Z39" s="116"/>
      <c r="AA39" s="99"/>
      <c r="AB39" s="98"/>
      <c r="AC39" s="98" t="s">
        <v>341</v>
      </c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</row>
    <row r="40" s="57" customFormat="1" ht="23.25" spans="1:59">
      <c r="A40" s="100" t="s">
        <v>342</v>
      </c>
      <c r="B40" s="100"/>
      <c r="C40" s="98" t="s">
        <v>318</v>
      </c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116"/>
      <c r="Z40" s="116"/>
      <c r="AA40" s="99"/>
      <c r="AB40" s="98"/>
      <c r="AC40" s="98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</row>
    <row r="41" s="59" customFormat="1" ht="23.25"/>
    <row r="42" spans="14:14">
      <c r="N42" s="110">
        <f>SUM(N3)</f>
        <v>0</v>
      </c>
    </row>
  </sheetData>
  <mergeCells count="6">
    <mergeCell ref="D2:V2"/>
    <mergeCell ref="AI2:AR2"/>
    <mergeCell ref="BA2:BE2"/>
    <mergeCell ref="A2:A3"/>
    <mergeCell ref="B2:B3"/>
    <mergeCell ref="C2:C3"/>
  </mergeCells>
  <pageMargins left="0.75" right="0.75" top="1" bottom="1" header="0.5" footer="0.5"/>
  <pageSetup paperSize="9" scale="41" fitToWidth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B36"/>
  <sheetViews>
    <sheetView workbookViewId="0">
      <pane xSplit="1" topLeftCell="B1" activePane="topRight" state="frozen"/>
      <selection/>
      <selection pane="topRight" activeCell="J5" sqref="J5"/>
    </sheetView>
  </sheetViews>
  <sheetFormatPr defaultColWidth="9.26666666666667" defaultRowHeight="12.75"/>
  <cols>
    <col min="1" max="1" width="24.7222222222222" customWidth="1"/>
  </cols>
  <sheetData>
    <row r="2" s="1" customFormat="1" ht="15.75" spans="1:28">
      <c r="A2" s="4"/>
      <c r="B2" s="5" t="s">
        <v>343</v>
      </c>
      <c r="C2" s="5"/>
      <c r="D2" s="5"/>
      <c r="E2" s="5"/>
      <c r="F2" s="5"/>
      <c r="G2" s="5"/>
      <c r="H2" s="5"/>
      <c r="I2" s="33"/>
      <c r="J2" s="4"/>
      <c r="K2" s="3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="1" customFormat="1" ht="15.75" spans="1:28">
      <c r="A3" s="4"/>
      <c r="B3" s="4"/>
      <c r="C3" s="4"/>
      <c r="D3" s="4"/>
      <c r="E3" s="4"/>
      <c r="F3" s="4"/>
      <c r="G3" s="4"/>
      <c r="H3" s="4"/>
      <c r="I3" s="4"/>
      <c r="J3" s="4"/>
      <c r="K3" s="3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="1" customFormat="1" ht="15.75" spans="1:28">
      <c r="A4" s="6" t="s">
        <v>344</v>
      </c>
      <c r="B4" s="6" t="s">
        <v>345</v>
      </c>
      <c r="C4" s="6" t="s">
        <v>277</v>
      </c>
      <c r="D4" s="6" t="s">
        <v>278</v>
      </c>
      <c r="E4" s="6" t="s">
        <v>279</v>
      </c>
      <c r="F4" s="6" t="s">
        <v>280</v>
      </c>
      <c r="G4" s="6" t="s">
        <v>281</v>
      </c>
      <c r="H4" s="6" t="s">
        <v>282</v>
      </c>
      <c r="I4" s="35" t="s">
        <v>283</v>
      </c>
      <c r="J4" s="35" t="s">
        <v>284</v>
      </c>
      <c r="K4" s="36" t="s">
        <v>302</v>
      </c>
      <c r="L4" s="35" t="s">
        <v>287</v>
      </c>
      <c r="M4" s="35" t="s">
        <v>286</v>
      </c>
      <c r="N4" s="35" t="s">
        <v>288</v>
      </c>
      <c r="O4" s="35" t="s">
        <v>289</v>
      </c>
      <c r="P4" s="37" t="s">
        <v>290</v>
      </c>
      <c r="Q4" s="35" t="s">
        <v>291</v>
      </c>
      <c r="R4" s="35" t="s">
        <v>292</v>
      </c>
      <c r="S4" s="35" t="s">
        <v>293</v>
      </c>
      <c r="T4" s="35" t="s">
        <v>294</v>
      </c>
      <c r="U4" s="35" t="s">
        <v>295</v>
      </c>
      <c r="V4" s="51" t="s">
        <v>302</v>
      </c>
      <c r="W4" s="35" t="s">
        <v>297</v>
      </c>
      <c r="X4" s="35" t="s">
        <v>298</v>
      </c>
      <c r="Y4" s="35" t="s">
        <v>299</v>
      </c>
      <c r="Z4" s="35" t="s">
        <v>303</v>
      </c>
      <c r="AA4" s="51" t="s">
        <v>302</v>
      </c>
      <c r="AB4" s="35" t="s">
        <v>346</v>
      </c>
    </row>
    <row r="5" s="1" customFormat="1" ht="15.75" spans="1:28">
      <c r="A5" s="7" t="s">
        <v>347</v>
      </c>
      <c r="B5" s="8"/>
      <c r="C5" s="6">
        <v>15</v>
      </c>
      <c r="D5" s="6">
        <v>9</v>
      </c>
      <c r="E5" s="6">
        <v>15</v>
      </c>
      <c r="F5" s="6">
        <v>15</v>
      </c>
      <c r="G5" s="6">
        <v>20</v>
      </c>
      <c r="H5" s="6">
        <v>8</v>
      </c>
      <c r="I5" s="35">
        <v>6</v>
      </c>
      <c r="J5" s="35">
        <v>12</v>
      </c>
      <c r="K5" s="38">
        <f t="shared" ref="K5:K14" si="0">SUM(C5:J5)</f>
        <v>100</v>
      </c>
      <c r="L5" s="35">
        <v>17</v>
      </c>
      <c r="M5" s="35">
        <v>6</v>
      </c>
      <c r="N5" s="35">
        <v>7</v>
      </c>
      <c r="O5" s="35">
        <v>4</v>
      </c>
      <c r="P5" s="35">
        <v>12</v>
      </c>
      <c r="Q5" s="35">
        <v>13</v>
      </c>
      <c r="R5" s="35">
        <v>5</v>
      </c>
      <c r="S5" s="35">
        <v>3</v>
      </c>
      <c r="T5" s="35">
        <v>10</v>
      </c>
      <c r="U5" s="35">
        <v>5</v>
      </c>
      <c r="V5" s="47">
        <f t="shared" ref="V5:V14" si="1">SUM(L5:U5)</f>
        <v>82</v>
      </c>
      <c r="W5" s="35">
        <v>6</v>
      </c>
      <c r="X5" s="35">
        <v>8</v>
      </c>
      <c r="Y5" s="35">
        <v>6</v>
      </c>
      <c r="Z5" s="35">
        <v>1</v>
      </c>
      <c r="AA5" s="47">
        <f t="shared" ref="AA5:AA14" si="2">SUM(W5:Z5)</f>
        <v>21</v>
      </c>
      <c r="AB5" s="35">
        <f t="shared" ref="AB5:AB14" si="3">SUM(K5,V5,AA5)</f>
        <v>203</v>
      </c>
    </row>
    <row r="6" s="1" customFormat="1" ht="15" customHeight="1" spans="1:28">
      <c r="A6" s="9" t="s">
        <v>348</v>
      </c>
      <c r="B6" s="10" t="s">
        <v>349</v>
      </c>
      <c r="C6" s="8">
        <v>18</v>
      </c>
      <c r="D6" s="8"/>
      <c r="E6" s="11"/>
      <c r="F6" s="8"/>
      <c r="G6" s="11"/>
      <c r="H6" s="11"/>
      <c r="I6" s="39"/>
      <c r="J6" s="39"/>
      <c r="K6" s="40">
        <f t="shared" si="0"/>
        <v>18</v>
      </c>
      <c r="L6" s="39"/>
      <c r="M6" s="39"/>
      <c r="N6" s="41"/>
      <c r="O6" s="41"/>
      <c r="P6" s="41"/>
      <c r="Q6" s="39"/>
      <c r="R6" s="39"/>
      <c r="S6" s="39"/>
      <c r="T6" s="39"/>
      <c r="U6" s="39"/>
      <c r="V6" s="48">
        <f t="shared" si="1"/>
        <v>0</v>
      </c>
      <c r="W6" s="39"/>
      <c r="X6" s="39"/>
      <c r="Y6" s="39"/>
      <c r="Z6" s="41"/>
      <c r="AA6" s="48">
        <f t="shared" si="2"/>
        <v>0</v>
      </c>
      <c r="AB6" s="39">
        <f t="shared" si="3"/>
        <v>18</v>
      </c>
    </row>
    <row r="7" s="1" customFormat="1" ht="15.75" spans="1:28">
      <c r="A7" s="9" t="s">
        <v>308</v>
      </c>
      <c r="B7" s="10" t="s">
        <v>350</v>
      </c>
      <c r="C7" s="8"/>
      <c r="D7" s="8"/>
      <c r="E7" s="11"/>
      <c r="F7" s="12">
        <v>16</v>
      </c>
      <c r="G7" s="11"/>
      <c r="H7" s="12"/>
      <c r="I7" s="39"/>
      <c r="J7" s="39"/>
      <c r="K7" s="40">
        <f t="shared" si="0"/>
        <v>16</v>
      </c>
      <c r="L7" s="39"/>
      <c r="M7" s="39"/>
      <c r="N7" s="41"/>
      <c r="O7" s="41"/>
      <c r="P7" s="41"/>
      <c r="Q7" s="39"/>
      <c r="R7" s="39"/>
      <c r="S7" s="39"/>
      <c r="T7" s="39"/>
      <c r="U7" s="39"/>
      <c r="V7" s="48">
        <f t="shared" si="1"/>
        <v>0</v>
      </c>
      <c r="W7" s="39"/>
      <c r="X7" s="39"/>
      <c r="Y7" s="39"/>
      <c r="Z7" s="41"/>
      <c r="AA7" s="48">
        <f t="shared" si="2"/>
        <v>0</v>
      </c>
      <c r="AB7" s="39">
        <f t="shared" si="3"/>
        <v>16</v>
      </c>
    </row>
    <row r="8" s="1" customFormat="1" ht="16" customHeight="1" spans="1:28">
      <c r="A8" s="9" t="s">
        <v>351</v>
      </c>
      <c r="B8" s="10" t="s">
        <v>350</v>
      </c>
      <c r="C8" s="8"/>
      <c r="D8" s="8"/>
      <c r="E8" s="8">
        <v>18</v>
      </c>
      <c r="F8" s="6"/>
      <c r="G8" s="11"/>
      <c r="H8" s="12"/>
      <c r="I8" s="39"/>
      <c r="J8" s="39"/>
      <c r="K8" s="40">
        <f t="shared" si="0"/>
        <v>18</v>
      </c>
      <c r="L8" s="39"/>
      <c r="M8" s="39"/>
      <c r="N8" s="41"/>
      <c r="O8" s="41"/>
      <c r="P8" s="41"/>
      <c r="Q8" s="39"/>
      <c r="R8" s="39"/>
      <c r="S8" s="39"/>
      <c r="T8" s="39"/>
      <c r="U8" s="39"/>
      <c r="V8" s="48">
        <f t="shared" si="1"/>
        <v>0</v>
      </c>
      <c r="W8" s="39"/>
      <c r="X8" s="39"/>
      <c r="Y8" s="39"/>
      <c r="Z8" s="41"/>
      <c r="AA8" s="48">
        <f t="shared" si="2"/>
        <v>0</v>
      </c>
      <c r="AB8" s="39">
        <f t="shared" si="3"/>
        <v>18</v>
      </c>
    </row>
    <row r="9" s="1" customFormat="1" ht="16" customHeight="1" spans="1:28">
      <c r="A9" s="9" t="s">
        <v>161</v>
      </c>
      <c r="B9" s="10" t="s">
        <v>352</v>
      </c>
      <c r="C9" s="8"/>
      <c r="D9" s="8"/>
      <c r="E9" s="8"/>
      <c r="F9" s="6"/>
      <c r="G9" s="11">
        <v>17</v>
      </c>
      <c r="H9" s="12"/>
      <c r="I9" s="39"/>
      <c r="J9" s="39"/>
      <c r="K9" s="40">
        <f t="shared" si="0"/>
        <v>17</v>
      </c>
      <c r="L9" s="39"/>
      <c r="M9" s="39"/>
      <c r="N9" s="41"/>
      <c r="O9" s="41"/>
      <c r="P9" s="41"/>
      <c r="Q9" s="39"/>
      <c r="R9" s="39"/>
      <c r="S9" s="39"/>
      <c r="T9" s="39"/>
      <c r="U9" s="39"/>
      <c r="V9" s="48">
        <f t="shared" si="1"/>
        <v>0</v>
      </c>
      <c r="W9" s="39"/>
      <c r="X9" s="39"/>
      <c r="Y9" s="39"/>
      <c r="Z9" s="41"/>
      <c r="AA9" s="48">
        <f t="shared" si="2"/>
        <v>0</v>
      </c>
      <c r="AB9" s="39">
        <f t="shared" si="3"/>
        <v>17</v>
      </c>
    </row>
    <row r="10" s="1" customFormat="1" ht="15.75" spans="1:28">
      <c r="A10" s="9" t="s">
        <v>353</v>
      </c>
      <c r="B10" s="10" t="s">
        <v>354</v>
      </c>
      <c r="C10" s="12"/>
      <c r="D10" s="8"/>
      <c r="E10" s="6"/>
      <c r="F10" s="8"/>
      <c r="G10" s="12">
        <v>4</v>
      </c>
      <c r="H10" s="11"/>
      <c r="I10" s="42">
        <v>0.5</v>
      </c>
      <c r="J10" s="39"/>
      <c r="K10" s="40">
        <f t="shared" si="0"/>
        <v>4.5</v>
      </c>
      <c r="L10" s="42">
        <v>3</v>
      </c>
      <c r="M10" s="39"/>
      <c r="N10" s="41"/>
      <c r="O10" s="42">
        <v>0.38</v>
      </c>
      <c r="P10" s="41"/>
      <c r="Q10" s="42">
        <v>1.5</v>
      </c>
      <c r="R10" s="42">
        <v>0.38</v>
      </c>
      <c r="S10" s="39"/>
      <c r="T10" s="42">
        <v>1.5</v>
      </c>
      <c r="U10" s="39"/>
      <c r="V10" s="48">
        <f t="shared" si="1"/>
        <v>6.76</v>
      </c>
      <c r="W10" s="42">
        <v>0.75</v>
      </c>
      <c r="X10" s="39"/>
      <c r="Y10" s="42">
        <v>0.75</v>
      </c>
      <c r="Z10" s="41"/>
      <c r="AA10" s="48">
        <f t="shared" si="2"/>
        <v>1.5</v>
      </c>
      <c r="AB10" s="39">
        <f t="shared" si="3"/>
        <v>12.76</v>
      </c>
    </row>
    <row r="11" s="1" customFormat="1" ht="15" customHeight="1" spans="1:28">
      <c r="A11" s="9" t="s">
        <v>355</v>
      </c>
      <c r="B11" s="10" t="s">
        <v>356</v>
      </c>
      <c r="C11" s="8"/>
      <c r="D11" s="8"/>
      <c r="E11" s="11"/>
      <c r="F11" s="8">
        <v>2</v>
      </c>
      <c r="G11" s="11"/>
      <c r="H11" s="11">
        <v>0.5</v>
      </c>
      <c r="I11" s="39"/>
      <c r="J11" s="39">
        <v>1</v>
      </c>
      <c r="K11" s="40">
        <f t="shared" si="0"/>
        <v>3.5</v>
      </c>
      <c r="L11" s="39"/>
      <c r="M11" s="39">
        <v>0.75</v>
      </c>
      <c r="N11" s="41">
        <v>0.38</v>
      </c>
      <c r="O11" s="42"/>
      <c r="P11" s="41">
        <v>1.5</v>
      </c>
      <c r="Q11" s="39"/>
      <c r="R11" s="42"/>
      <c r="S11" s="39">
        <v>0.38</v>
      </c>
      <c r="T11" s="39"/>
      <c r="U11" s="39">
        <v>0.75</v>
      </c>
      <c r="V11" s="48">
        <f t="shared" si="1"/>
        <v>3.76</v>
      </c>
      <c r="W11" s="39"/>
      <c r="X11" s="39">
        <v>0.5</v>
      </c>
      <c r="Y11" s="39"/>
      <c r="Z11" s="41">
        <v>0.5</v>
      </c>
      <c r="AA11" s="48">
        <f t="shared" si="2"/>
        <v>1</v>
      </c>
      <c r="AB11" s="39">
        <f t="shared" si="3"/>
        <v>8.26</v>
      </c>
    </row>
    <row r="12" s="1" customFormat="1" ht="15.75" spans="1:28">
      <c r="A12" s="9" t="s">
        <v>357</v>
      </c>
      <c r="B12" s="13" t="s">
        <v>356</v>
      </c>
      <c r="C12" s="8"/>
      <c r="D12" s="8"/>
      <c r="E12" s="11"/>
      <c r="F12" s="8"/>
      <c r="G12" s="11"/>
      <c r="H12" s="11"/>
      <c r="I12" s="39"/>
      <c r="J12" s="39"/>
      <c r="K12" s="40">
        <f t="shared" si="0"/>
        <v>0</v>
      </c>
      <c r="L12" s="39">
        <v>5</v>
      </c>
      <c r="M12" s="39"/>
      <c r="N12" s="39"/>
      <c r="O12" s="39">
        <v>0.63</v>
      </c>
      <c r="P12" s="41"/>
      <c r="Q12" s="42">
        <v>2.5</v>
      </c>
      <c r="R12" s="39">
        <v>0.63</v>
      </c>
      <c r="S12" s="39"/>
      <c r="T12" s="39">
        <v>2.5</v>
      </c>
      <c r="U12" s="39"/>
      <c r="V12" s="48">
        <f t="shared" si="1"/>
        <v>11.26</v>
      </c>
      <c r="W12" s="39">
        <v>0.75</v>
      </c>
      <c r="X12" s="39"/>
      <c r="Y12" s="39">
        <v>0.75</v>
      </c>
      <c r="Z12" s="41"/>
      <c r="AA12" s="48">
        <f t="shared" si="2"/>
        <v>1.5</v>
      </c>
      <c r="AB12" s="39">
        <f t="shared" si="3"/>
        <v>12.76</v>
      </c>
    </row>
    <row r="13" s="1" customFormat="1" ht="18" customHeight="1" spans="1:28">
      <c r="A13" s="9" t="s">
        <v>358</v>
      </c>
      <c r="B13" s="10" t="s">
        <v>359</v>
      </c>
      <c r="C13" s="8"/>
      <c r="D13" s="8"/>
      <c r="E13" s="11"/>
      <c r="F13" s="8"/>
      <c r="G13" s="11"/>
      <c r="H13" s="11"/>
      <c r="I13" s="39"/>
      <c r="J13" s="39"/>
      <c r="K13" s="40">
        <f t="shared" si="0"/>
        <v>0</v>
      </c>
      <c r="L13" s="39"/>
      <c r="M13" s="39"/>
      <c r="N13" s="39"/>
      <c r="O13" s="41"/>
      <c r="P13" s="41"/>
      <c r="Q13" s="39"/>
      <c r="R13" s="39"/>
      <c r="S13" s="39"/>
      <c r="T13" s="39"/>
      <c r="U13" s="39"/>
      <c r="V13" s="48">
        <f t="shared" si="1"/>
        <v>0</v>
      </c>
      <c r="W13" s="52"/>
      <c r="X13" s="39"/>
      <c r="Y13" s="39">
        <v>1</v>
      </c>
      <c r="Z13" s="41"/>
      <c r="AA13" s="48">
        <f t="shared" si="2"/>
        <v>1</v>
      </c>
      <c r="AB13" s="39">
        <f t="shared" si="3"/>
        <v>1</v>
      </c>
    </row>
    <row r="14" s="1" customFormat="1" ht="15.75" spans="1:28">
      <c r="A14" s="9" t="s">
        <v>360</v>
      </c>
      <c r="B14" s="14" t="s">
        <v>359</v>
      </c>
      <c r="C14" s="8">
        <v>2</v>
      </c>
      <c r="D14" s="8"/>
      <c r="E14" s="15">
        <v>3</v>
      </c>
      <c r="F14" s="8"/>
      <c r="G14" s="11">
        <v>6</v>
      </c>
      <c r="H14" s="15"/>
      <c r="I14" s="43">
        <v>1</v>
      </c>
      <c r="J14" s="43"/>
      <c r="K14" s="40">
        <f t="shared" si="0"/>
        <v>12</v>
      </c>
      <c r="L14" s="43">
        <v>4</v>
      </c>
      <c r="M14" s="35"/>
      <c r="N14" s="42">
        <v>0.63</v>
      </c>
      <c r="O14" s="41"/>
      <c r="P14" s="35"/>
      <c r="Q14" s="43"/>
      <c r="R14" s="43"/>
      <c r="S14" s="35"/>
      <c r="T14" s="43"/>
      <c r="U14" s="53"/>
      <c r="V14" s="48">
        <f t="shared" si="1"/>
        <v>4.63</v>
      </c>
      <c r="W14" s="43"/>
      <c r="X14" s="35"/>
      <c r="Y14" s="43"/>
      <c r="Z14" s="35"/>
      <c r="AA14" s="48">
        <f t="shared" si="2"/>
        <v>0</v>
      </c>
      <c r="AB14" s="39">
        <f t="shared" si="3"/>
        <v>16.63</v>
      </c>
    </row>
    <row r="15" s="1" customFormat="1" ht="15.75" spans="1:28">
      <c r="A15" s="9" t="s">
        <v>361</v>
      </c>
      <c r="B15" s="14" t="s">
        <v>359</v>
      </c>
      <c r="C15" s="8"/>
      <c r="D15" s="8"/>
      <c r="E15" s="15"/>
      <c r="F15" s="8"/>
      <c r="G15" s="11"/>
      <c r="H15" s="15"/>
      <c r="I15" s="43"/>
      <c r="J15" s="43"/>
      <c r="K15" s="40">
        <f t="shared" ref="K15:K22" si="4">SUM(C15:J15)</f>
        <v>0</v>
      </c>
      <c r="L15" s="43"/>
      <c r="M15" s="35">
        <v>1.25</v>
      </c>
      <c r="N15" s="44"/>
      <c r="O15" s="41"/>
      <c r="P15" s="35">
        <v>2.5</v>
      </c>
      <c r="Q15" s="43"/>
      <c r="R15" s="43"/>
      <c r="S15" s="35">
        <v>0.63</v>
      </c>
      <c r="T15" s="43"/>
      <c r="U15" s="53">
        <v>1.25</v>
      </c>
      <c r="V15" s="54">
        <f t="shared" ref="V15:V30" si="5">SUM(L15:U15)</f>
        <v>5.63</v>
      </c>
      <c r="W15" s="43"/>
      <c r="X15" s="35">
        <v>0.75</v>
      </c>
      <c r="Y15" s="43"/>
      <c r="Z15" s="35">
        <v>0.75</v>
      </c>
      <c r="AA15" s="48">
        <f t="shared" ref="AA15:AA30" si="6">SUM(W15:Z15)</f>
        <v>1.5</v>
      </c>
      <c r="AB15" s="55">
        <f t="shared" ref="AB15:AB30" si="7">SUM(K15,V15,AA15)</f>
        <v>7.13</v>
      </c>
    </row>
    <row r="16" s="1" customFormat="1" ht="17.15" customHeight="1" spans="1:28">
      <c r="A16" s="16" t="s">
        <v>362</v>
      </c>
      <c r="B16" s="13" t="s">
        <v>363</v>
      </c>
      <c r="C16" s="8"/>
      <c r="D16" s="8"/>
      <c r="E16" s="11"/>
      <c r="F16" s="8"/>
      <c r="G16" s="11"/>
      <c r="H16" s="11"/>
      <c r="I16" s="39"/>
      <c r="J16" s="39"/>
      <c r="K16" s="40">
        <f t="shared" si="4"/>
        <v>0</v>
      </c>
      <c r="L16" s="42">
        <v>5</v>
      </c>
      <c r="M16" s="39"/>
      <c r="N16" s="41"/>
      <c r="O16" s="42">
        <v>0.63</v>
      </c>
      <c r="P16" s="41"/>
      <c r="Q16" s="42"/>
      <c r="R16" s="39">
        <v>2.5</v>
      </c>
      <c r="S16" s="39"/>
      <c r="T16" s="42">
        <v>2.5</v>
      </c>
      <c r="U16" s="39"/>
      <c r="V16" s="48">
        <f t="shared" si="5"/>
        <v>10.63</v>
      </c>
      <c r="W16" s="53">
        <v>1.5</v>
      </c>
      <c r="X16" s="39"/>
      <c r="Y16" s="52">
        <v>1.5</v>
      </c>
      <c r="Z16" s="39"/>
      <c r="AA16" s="48">
        <f t="shared" si="6"/>
        <v>3</v>
      </c>
      <c r="AB16" s="39">
        <f t="shared" si="7"/>
        <v>13.63</v>
      </c>
    </row>
    <row r="17" s="1" customFormat="1" ht="15.75" spans="1:28">
      <c r="A17" s="17" t="s">
        <v>329</v>
      </c>
      <c r="B17" s="13" t="s">
        <v>363</v>
      </c>
      <c r="C17" s="8"/>
      <c r="D17" s="8"/>
      <c r="E17" s="11"/>
      <c r="F17" s="8"/>
      <c r="G17" s="11"/>
      <c r="H17" s="11"/>
      <c r="I17" s="39"/>
      <c r="J17" s="39">
        <v>3</v>
      </c>
      <c r="K17" s="40">
        <f t="shared" si="4"/>
        <v>3</v>
      </c>
      <c r="L17" s="45"/>
      <c r="M17" s="35"/>
      <c r="N17" s="35">
        <v>0.63</v>
      </c>
      <c r="O17" s="41"/>
      <c r="P17" s="35"/>
      <c r="Q17" s="42">
        <v>2.5</v>
      </c>
      <c r="R17" s="42">
        <v>0.63</v>
      </c>
      <c r="S17" s="43">
        <v>0.63</v>
      </c>
      <c r="T17" s="42"/>
      <c r="U17" s="42">
        <v>1.25</v>
      </c>
      <c r="V17" s="48">
        <f t="shared" si="5"/>
        <v>5.64</v>
      </c>
      <c r="W17" s="42"/>
      <c r="X17" s="43"/>
      <c r="Y17" s="42"/>
      <c r="Z17" s="56"/>
      <c r="AA17" s="48">
        <f t="shared" si="6"/>
        <v>0</v>
      </c>
      <c r="AB17" s="39">
        <f t="shared" si="7"/>
        <v>8.64</v>
      </c>
    </row>
    <row r="18" s="1" customFormat="1" ht="15" customHeight="1" spans="1:28">
      <c r="A18" s="16" t="s">
        <v>364</v>
      </c>
      <c r="B18" s="10" t="s">
        <v>359</v>
      </c>
      <c r="C18" s="8"/>
      <c r="D18" s="8"/>
      <c r="E18" s="11"/>
      <c r="F18" s="8"/>
      <c r="G18" s="12"/>
      <c r="H18" s="11"/>
      <c r="I18" s="39"/>
      <c r="J18" s="39"/>
      <c r="K18" s="40">
        <f t="shared" si="4"/>
        <v>0</v>
      </c>
      <c r="L18" s="42"/>
      <c r="M18" s="39"/>
      <c r="N18" s="41"/>
      <c r="O18" s="35">
        <v>0.5</v>
      </c>
      <c r="P18" s="41"/>
      <c r="Q18" s="35">
        <v>2</v>
      </c>
      <c r="R18" s="42">
        <v>0.5</v>
      </c>
      <c r="S18" s="39"/>
      <c r="T18" s="42">
        <v>2</v>
      </c>
      <c r="U18" s="39"/>
      <c r="V18" s="48">
        <f t="shared" si="5"/>
        <v>5</v>
      </c>
      <c r="W18" s="39">
        <v>1</v>
      </c>
      <c r="X18" s="39"/>
      <c r="Y18" s="42"/>
      <c r="Z18" s="41"/>
      <c r="AA18" s="48">
        <f t="shared" si="6"/>
        <v>1</v>
      </c>
      <c r="AB18" s="39">
        <f t="shared" si="7"/>
        <v>6</v>
      </c>
    </row>
    <row r="19" s="1" customFormat="1" ht="15.75" spans="1:28">
      <c r="A19" s="16" t="s">
        <v>365</v>
      </c>
      <c r="B19" s="13" t="s">
        <v>366</v>
      </c>
      <c r="C19" s="12"/>
      <c r="D19" s="8"/>
      <c r="E19" s="11"/>
      <c r="F19" s="8"/>
      <c r="G19" s="8"/>
      <c r="H19" s="11"/>
      <c r="I19" s="39">
        <v>4.25</v>
      </c>
      <c r="J19" s="39"/>
      <c r="K19" s="40">
        <f t="shared" si="4"/>
        <v>4.25</v>
      </c>
      <c r="L19" s="42"/>
      <c r="M19" s="39"/>
      <c r="N19" s="41"/>
      <c r="O19" s="41"/>
      <c r="P19" s="41"/>
      <c r="Q19" s="39"/>
      <c r="R19" s="39"/>
      <c r="S19" s="39"/>
      <c r="T19" s="39"/>
      <c r="U19" s="39"/>
      <c r="V19" s="48">
        <f t="shared" si="5"/>
        <v>0</v>
      </c>
      <c r="W19" s="39"/>
      <c r="X19" s="39"/>
      <c r="Y19" s="39"/>
      <c r="Z19" s="41"/>
      <c r="AA19" s="48">
        <f t="shared" si="6"/>
        <v>0</v>
      </c>
      <c r="AB19" s="39">
        <f t="shared" si="7"/>
        <v>4.25</v>
      </c>
    </row>
    <row r="20" s="1" customFormat="1" ht="15" customHeight="1" spans="1:28">
      <c r="A20" s="17" t="s">
        <v>318</v>
      </c>
      <c r="B20" s="13" t="s">
        <v>367</v>
      </c>
      <c r="C20" s="8"/>
      <c r="D20" s="8"/>
      <c r="E20" s="11"/>
      <c r="F20" s="8"/>
      <c r="G20" s="11"/>
      <c r="H20" s="8"/>
      <c r="I20" s="39"/>
      <c r="J20" s="39"/>
      <c r="K20" s="40">
        <f t="shared" si="4"/>
        <v>0</v>
      </c>
      <c r="L20" s="39"/>
      <c r="M20" s="39"/>
      <c r="N20" s="41"/>
      <c r="O20" s="41"/>
      <c r="P20" s="41"/>
      <c r="Q20" s="42">
        <v>1</v>
      </c>
      <c r="R20" s="42">
        <v>0.25</v>
      </c>
      <c r="S20" s="39"/>
      <c r="T20" s="39">
        <v>1</v>
      </c>
      <c r="U20" s="39"/>
      <c r="V20" s="48">
        <f t="shared" si="5"/>
        <v>2.25</v>
      </c>
      <c r="W20" s="39">
        <v>0.5</v>
      </c>
      <c r="X20" s="39"/>
      <c r="Y20" s="39">
        <v>0.5</v>
      </c>
      <c r="Z20" s="41"/>
      <c r="AA20" s="48">
        <f t="shared" si="6"/>
        <v>1</v>
      </c>
      <c r="AB20" s="39">
        <f t="shared" si="7"/>
        <v>3.25</v>
      </c>
    </row>
    <row r="21" s="1" customFormat="1" ht="15.75" spans="1:28">
      <c r="A21" s="17" t="s">
        <v>368</v>
      </c>
      <c r="B21" s="13" t="s">
        <v>369</v>
      </c>
      <c r="C21" s="8"/>
      <c r="D21" s="8"/>
      <c r="E21" s="11"/>
      <c r="F21" s="8"/>
      <c r="G21" s="11"/>
      <c r="H21" s="8"/>
      <c r="I21" s="39"/>
      <c r="J21" s="42">
        <v>9</v>
      </c>
      <c r="K21" s="46">
        <f t="shared" si="4"/>
        <v>9</v>
      </c>
      <c r="L21" s="39"/>
      <c r="M21" s="39"/>
      <c r="N21" s="41"/>
      <c r="O21" s="41"/>
      <c r="P21" s="41"/>
      <c r="Q21" s="39"/>
      <c r="R21" s="39"/>
      <c r="S21" s="39"/>
      <c r="T21" s="39"/>
      <c r="U21" s="39"/>
      <c r="V21" s="48">
        <f t="shared" si="5"/>
        <v>0</v>
      </c>
      <c r="W21" s="39"/>
      <c r="X21" s="39"/>
      <c r="Y21" s="39"/>
      <c r="Z21" s="41"/>
      <c r="AA21" s="48">
        <f t="shared" si="6"/>
        <v>0</v>
      </c>
      <c r="AB21" s="55">
        <f t="shared" si="7"/>
        <v>9</v>
      </c>
    </row>
    <row r="22" s="1" customFormat="1" ht="17.15" customHeight="1" spans="1:28">
      <c r="A22" s="16" t="s">
        <v>370</v>
      </c>
      <c r="B22" s="18" t="s">
        <v>349</v>
      </c>
      <c r="C22" s="8"/>
      <c r="D22" s="6">
        <v>9</v>
      </c>
      <c r="E22" s="11"/>
      <c r="F22" s="11"/>
      <c r="G22" s="11"/>
      <c r="H22" s="12"/>
      <c r="I22" s="39"/>
      <c r="J22" s="39"/>
      <c r="K22" s="46">
        <f t="shared" si="4"/>
        <v>9</v>
      </c>
      <c r="L22" s="39"/>
      <c r="M22" s="39"/>
      <c r="N22" s="41"/>
      <c r="O22" s="41"/>
      <c r="P22" s="41"/>
      <c r="Q22" s="39"/>
      <c r="R22" s="39"/>
      <c r="S22" s="39"/>
      <c r="T22" s="39"/>
      <c r="U22" s="39"/>
      <c r="V22" s="48">
        <f t="shared" si="5"/>
        <v>0</v>
      </c>
      <c r="W22" s="39"/>
      <c r="X22" s="39"/>
      <c r="Y22" s="39"/>
      <c r="Z22" s="41"/>
      <c r="AA22" s="48">
        <f t="shared" si="6"/>
        <v>0</v>
      </c>
      <c r="AB22" s="39">
        <f t="shared" si="7"/>
        <v>9</v>
      </c>
    </row>
    <row r="23" s="1" customFormat="1" ht="15.75" spans="1:28">
      <c r="A23" s="19" t="s">
        <v>371</v>
      </c>
      <c r="B23" s="20" t="s">
        <v>352</v>
      </c>
      <c r="C23" s="8"/>
      <c r="D23" s="8"/>
      <c r="E23" s="11"/>
      <c r="F23" s="8"/>
      <c r="G23" s="11"/>
      <c r="H23" s="11">
        <v>4.5</v>
      </c>
      <c r="I23" s="39"/>
      <c r="J23" s="39"/>
      <c r="K23" s="40">
        <f t="shared" ref="K23:K30" si="8">SUM(C23:J23)</f>
        <v>4.5</v>
      </c>
      <c r="L23" s="39"/>
      <c r="M23" s="39"/>
      <c r="N23" s="41"/>
      <c r="O23" s="41"/>
      <c r="P23" s="41"/>
      <c r="Q23" s="39"/>
      <c r="R23" s="39"/>
      <c r="S23" s="39"/>
      <c r="T23" s="42"/>
      <c r="U23" s="39"/>
      <c r="V23" s="48">
        <f t="shared" si="5"/>
        <v>0</v>
      </c>
      <c r="W23" s="39"/>
      <c r="X23" s="39"/>
      <c r="Y23" s="39"/>
      <c r="Z23" s="39"/>
      <c r="AA23" s="48">
        <f t="shared" si="6"/>
        <v>0</v>
      </c>
      <c r="AB23" s="39">
        <f t="shared" si="7"/>
        <v>4.5</v>
      </c>
    </row>
    <row r="24" s="1" customFormat="1" ht="16" customHeight="1" spans="1:28">
      <c r="A24" s="16" t="s">
        <v>372</v>
      </c>
      <c r="B24" s="20" t="s">
        <v>354</v>
      </c>
      <c r="C24" s="8"/>
      <c r="D24" s="6"/>
      <c r="E24" s="11"/>
      <c r="F24" s="8"/>
      <c r="G24" s="11"/>
      <c r="H24" s="11"/>
      <c r="I24" s="39"/>
      <c r="J24" s="42"/>
      <c r="K24" s="40">
        <f t="shared" si="8"/>
        <v>0</v>
      </c>
      <c r="L24" s="39"/>
      <c r="M24" s="35">
        <v>0.75</v>
      </c>
      <c r="N24" s="41">
        <v>0.38</v>
      </c>
      <c r="O24" s="41"/>
      <c r="P24" s="35">
        <v>1.5</v>
      </c>
      <c r="Q24" s="39"/>
      <c r="R24" s="39"/>
      <c r="S24" s="42">
        <v>0.38</v>
      </c>
      <c r="T24" s="39"/>
      <c r="U24" s="42">
        <v>0.75</v>
      </c>
      <c r="V24" s="48">
        <f t="shared" si="5"/>
        <v>3.76</v>
      </c>
      <c r="W24" s="39"/>
      <c r="X24" s="35">
        <v>0.75</v>
      </c>
      <c r="Y24" s="39"/>
      <c r="Z24" s="35">
        <v>0.75</v>
      </c>
      <c r="AA24" s="48">
        <f t="shared" si="6"/>
        <v>1.5</v>
      </c>
      <c r="AB24" s="39">
        <f t="shared" si="7"/>
        <v>5.26</v>
      </c>
    </row>
    <row r="25" s="1" customFormat="1" ht="15.75" spans="1:28">
      <c r="A25" s="16" t="s">
        <v>373</v>
      </c>
      <c r="B25" s="20" t="s">
        <v>110</v>
      </c>
      <c r="C25" s="8"/>
      <c r="D25" s="8"/>
      <c r="E25" s="11"/>
      <c r="F25" s="8"/>
      <c r="G25" s="11"/>
      <c r="H25" s="11"/>
      <c r="I25" s="39"/>
      <c r="J25" s="39"/>
      <c r="K25" s="40">
        <f t="shared" si="8"/>
        <v>0</v>
      </c>
      <c r="L25" s="39"/>
      <c r="M25" s="39"/>
      <c r="N25" s="41"/>
      <c r="O25" s="41"/>
      <c r="P25" s="41">
        <v>1</v>
      </c>
      <c r="Q25" s="39"/>
      <c r="R25" s="39"/>
      <c r="S25" s="42">
        <v>0.25</v>
      </c>
      <c r="T25" s="39"/>
      <c r="U25" s="39">
        <v>0.5</v>
      </c>
      <c r="V25" s="48">
        <f t="shared" si="5"/>
        <v>1.75</v>
      </c>
      <c r="W25" s="39">
        <v>0.5</v>
      </c>
      <c r="X25" s="42">
        <v>0.5</v>
      </c>
      <c r="Y25" s="42"/>
      <c r="Z25" s="35">
        <v>2</v>
      </c>
      <c r="AA25" s="48">
        <f t="shared" si="6"/>
        <v>3</v>
      </c>
      <c r="AB25" s="39">
        <f t="shared" si="7"/>
        <v>4.75</v>
      </c>
    </row>
    <row r="26" s="1" customFormat="1" ht="18" customHeight="1" spans="1:28">
      <c r="A26" s="16" t="s">
        <v>374</v>
      </c>
      <c r="B26" s="20" t="s">
        <v>363</v>
      </c>
      <c r="C26" s="8"/>
      <c r="D26" s="8"/>
      <c r="E26" s="11"/>
      <c r="F26" s="8"/>
      <c r="G26" s="11"/>
      <c r="H26" s="11"/>
      <c r="I26" s="39"/>
      <c r="J26" s="39"/>
      <c r="K26" s="40">
        <f t="shared" si="8"/>
        <v>0</v>
      </c>
      <c r="L26" s="39"/>
      <c r="M26" s="39">
        <v>1.25</v>
      </c>
      <c r="N26" s="41"/>
      <c r="O26" s="41"/>
      <c r="P26" s="41" t="s">
        <v>375</v>
      </c>
      <c r="Q26" s="39"/>
      <c r="R26" s="39"/>
      <c r="S26" s="42"/>
      <c r="T26" s="39"/>
      <c r="U26" s="39"/>
      <c r="V26" s="48">
        <f t="shared" si="5"/>
        <v>1.25</v>
      </c>
      <c r="W26" s="39"/>
      <c r="X26" s="42">
        <v>1.5</v>
      </c>
      <c r="Y26" s="42"/>
      <c r="Z26" s="35"/>
      <c r="AA26" s="48">
        <f t="shared" si="6"/>
        <v>1.5</v>
      </c>
      <c r="AB26" s="39">
        <f t="shared" si="7"/>
        <v>2.75</v>
      </c>
    </row>
    <row r="27" s="1" customFormat="1" ht="15.75" spans="1:28">
      <c r="A27" s="21" t="s">
        <v>136</v>
      </c>
      <c r="B27" s="22" t="s">
        <v>376</v>
      </c>
      <c r="C27" s="8"/>
      <c r="D27" s="8"/>
      <c r="E27" s="8"/>
      <c r="F27" s="8"/>
      <c r="G27" s="8"/>
      <c r="H27" s="8"/>
      <c r="I27" s="41"/>
      <c r="J27" s="41"/>
      <c r="K27" s="38">
        <f t="shared" si="8"/>
        <v>0</v>
      </c>
      <c r="L27" s="41"/>
      <c r="M27" s="41"/>
      <c r="N27" s="41"/>
      <c r="O27" s="41"/>
      <c r="P27" s="35">
        <v>0.5</v>
      </c>
      <c r="Q27" s="41">
        <v>0.5</v>
      </c>
      <c r="R27" s="41">
        <v>0.25</v>
      </c>
      <c r="S27" s="35">
        <v>0.25</v>
      </c>
      <c r="T27" s="41">
        <v>1</v>
      </c>
      <c r="U27" s="35">
        <v>0.5</v>
      </c>
      <c r="V27" s="47">
        <f t="shared" si="5"/>
        <v>3</v>
      </c>
      <c r="W27" s="41">
        <v>0.5</v>
      </c>
      <c r="X27" s="41">
        <v>0.5</v>
      </c>
      <c r="Y27" s="41">
        <v>0.5</v>
      </c>
      <c r="Z27" s="41">
        <v>0.5</v>
      </c>
      <c r="AA27" s="47">
        <f t="shared" si="6"/>
        <v>2</v>
      </c>
      <c r="AB27" s="41">
        <f t="shared" si="7"/>
        <v>5</v>
      </c>
    </row>
    <row r="28" s="2" customFormat="1" ht="20.15" customHeight="1" spans="1:28">
      <c r="A28" s="21" t="s">
        <v>166</v>
      </c>
      <c r="B28" s="23" t="s">
        <v>354</v>
      </c>
      <c r="C28" s="24"/>
      <c r="D28" s="24"/>
      <c r="E28" s="24">
        <v>2</v>
      </c>
      <c r="F28" s="24">
        <v>2</v>
      </c>
      <c r="G28" s="24"/>
      <c r="H28" s="24">
        <v>0.5</v>
      </c>
      <c r="I28" s="47"/>
      <c r="J28" s="47">
        <v>1</v>
      </c>
      <c r="K28" s="38">
        <f t="shared" si="8"/>
        <v>5.5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5"/>
        <v>0</v>
      </c>
      <c r="W28" s="47"/>
      <c r="X28" s="47"/>
      <c r="Y28" s="47"/>
      <c r="Z28" s="47"/>
      <c r="AA28" s="47">
        <f t="shared" si="6"/>
        <v>0</v>
      </c>
      <c r="AB28" s="41">
        <f t="shared" si="7"/>
        <v>5.5</v>
      </c>
    </row>
    <row r="29" s="2" customFormat="1" ht="15.75" spans="1:28">
      <c r="A29" s="25" t="s">
        <v>377</v>
      </c>
      <c r="B29" s="23"/>
      <c r="C29" s="24"/>
      <c r="D29" s="24"/>
      <c r="E29" s="24"/>
      <c r="F29" s="24"/>
      <c r="G29" s="24"/>
      <c r="H29" s="24"/>
      <c r="I29" s="47"/>
      <c r="J29" s="47"/>
      <c r="K29" s="38">
        <f t="shared" si="8"/>
        <v>0</v>
      </c>
      <c r="L29" s="47"/>
      <c r="M29" s="47"/>
      <c r="N29" s="47"/>
      <c r="O29" s="47"/>
      <c r="P29" s="47">
        <v>1</v>
      </c>
      <c r="Q29" s="47"/>
      <c r="R29" s="47"/>
      <c r="S29" s="47">
        <v>0.25</v>
      </c>
      <c r="T29" s="47"/>
      <c r="U29" s="47">
        <v>0.5</v>
      </c>
      <c r="V29" s="47">
        <f t="shared" si="5"/>
        <v>1.75</v>
      </c>
      <c r="W29" s="47"/>
      <c r="X29" s="47">
        <v>0.5</v>
      </c>
      <c r="Y29" s="47"/>
      <c r="Z29" s="47">
        <v>0.5</v>
      </c>
      <c r="AA29" s="47">
        <f t="shared" si="6"/>
        <v>1</v>
      </c>
      <c r="AB29" s="41">
        <f t="shared" si="7"/>
        <v>2.75</v>
      </c>
    </row>
    <row r="30" s="3" customFormat="1" ht="15.75" spans="1:28">
      <c r="A30" s="26" t="s">
        <v>320</v>
      </c>
      <c r="B30" s="27"/>
      <c r="C30" s="28"/>
      <c r="D30" s="28"/>
      <c r="E30" s="28"/>
      <c r="F30" s="28"/>
      <c r="G30" s="28"/>
      <c r="H30" s="28"/>
      <c r="I30" s="48"/>
      <c r="J30" s="48"/>
      <c r="K30" s="40">
        <f t="shared" si="8"/>
        <v>0</v>
      </c>
      <c r="L30" s="48"/>
      <c r="M30" s="48"/>
      <c r="N30" s="48"/>
      <c r="O30" s="48"/>
      <c r="P30" s="48"/>
      <c r="Q30" s="48">
        <v>1</v>
      </c>
      <c r="R30" s="48">
        <v>0.25</v>
      </c>
      <c r="S30" s="48"/>
      <c r="T30" s="48">
        <v>1</v>
      </c>
      <c r="U30" s="48"/>
      <c r="V30" s="48">
        <f t="shared" si="5"/>
        <v>2.25</v>
      </c>
      <c r="W30" s="48"/>
      <c r="X30" s="48"/>
      <c r="Y30" s="48">
        <v>0.5</v>
      </c>
      <c r="Z30" s="48"/>
      <c r="AA30" s="48">
        <f t="shared" si="6"/>
        <v>0.5</v>
      </c>
      <c r="AB30" s="41">
        <f t="shared" si="7"/>
        <v>2.75</v>
      </c>
    </row>
    <row r="31" s="1" customFormat="1" ht="16.5" spans="1:28">
      <c r="A31" s="29" t="s">
        <v>302</v>
      </c>
      <c r="B31" s="30" t="s">
        <v>378</v>
      </c>
      <c r="C31" s="31">
        <f t="shared" ref="C31:AB31" si="9">SUM(C6:C27)</f>
        <v>20</v>
      </c>
      <c r="D31" s="31">
        <f t="shared" si="9"/>
        <v>9</v>
      </c>
      <c r="E31" s="31">
        <f t="shared" si="9"/>
        <v>21</v>
      </c>
      <c r="F31" s="31">
        <f t="shared" si="9"/>
        <v>18</v>
      </c>
      <c r="G31" s="31">
        <f t="shared" si="9"/>
        <v>27</v>
      </c>
      <c r="H31" s="31">
        <f t="shared" si="9"/>
        <v>5</v>
      </c>
      <c r="I31" s="49">
        <f t="shared" si="9"/>
        <v>5.75</v>
      </c>
      <c r="J31" s="49">
        <f t="shared" si="9"/>
        <v>13</v>
      </c>
      <c r="K31" s="50">
        <f t="shared" si="9"/>
        <v>118.75</v>
      </c>
      <c r="L31" s="49">
        <f t="shared" si="9"/>
        <v>17</v>
      </c>
      <c r="M31" s="49">
        <f t="shared" si="9"/>
        <v>4</v>
      </c>
      <c r="N31" s="49">
        <f t="shared" si="9"/>
        <v>2.02</v>
      </c>
      <c r="O31" s="49">
        <f t="shared" si="9"/>
        <v>2.14</v>
      </c>
      <c r="P31" s="49">
        <f t="shared" si="9"/>
        <v>7</v>
      </c>
      <c r="Q31" s="49">
        <f t="shared" si="9"/>
        <v>10</v>
      </c>
      <c r="R31" s="49">
        <f t="shared" si="9"/>
        <v>5.14</v>
      </c>
      <c r="S31" s="49">
        <f t="shared" si="9"/>
        <v>2.52</v>
      </c>
      <c r="T31" s="49">
        <f t="shared" si="9"/>
        <v>10.5</v>
      </c>
      <c r="U31" s="49">
        <f t="shared" si="9"/>
        <v>5</v>
      </c>
      <c r="V31" s="50">
        <f t="shared" si="9"/>
        <v>65.32</v>
      </c>
      <c r="W31" s="49">
        <f t="shared" si="9"/>
        <v>5.5</v>
      </c>
      <c r="X31" s="49">
        <f t="shared" si="9"/>
        <v>4.5</v>
      </c>
      <c r="Y31" s="49">
        <f t="shared" si="9"/>
        <v>5</v>
      </c>
      <c r="Z31" s="49">
        <f t="shared" si="9"/>
        <v>4.5</v>
      </c>
      <c r="AA31" s="49">
        <f t="shared" si="9"/>
        <v>19.5</v>
      </c>
      <c r="AB31" s="50">
        <f t="shared" si="9"/>
        <v>203.57</v>
      </c>
    </row>
    <row r="32" s="1" customFormat="1" ht="16.5" spans="1:1">
      <c r="A32" s="32"/>
    </row>
    <row r="33" s="1" customFormat="1"/>
    <row r="34" s="1" customFormat="1" spans="2:6">
      <c r="B34" s="1" t="s">
        <v>379</v>
      </c>
      <c r="F34" s="1" t="s">
        <v>318</v>
      </c>
    </row>
    <row r="35" s="1" customFormat="1"/>
    <row r="36" s="1" customForma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Тариф 01.01.2023г.</vt:lpstr>
      <vt:lpstr>Штат 01.01.2023г.</vt:lpstr>
      <vt:lpstr>нагрузка</vt:lpstr>
      <vt:lpstr>тетради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ЛюбовьЮрьевна</cp:lastModifiedBy>
  <dcterms:created xsi:type="dcterms:W3CDTF">2014-03-18T18:18:00Z</dcterms:created>
  <cp:lastPrinted>2022-01-20T09:47:00Z</cp:lastPrinted>
  <dcterms:modified xsi:type="dcterms:W3CDTF">2023-07-05T06:37:24Z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1049-11.2.0.11537</vt:lpwstr>
  </property>
  <property fmtid="{D5CDD505-2E9C-101B-9397-08002B2CF9AE}" pid="3" name="ICV">
    <vt:lpwstr>F24E1482479B4C4D97BC33F96C295ED9</vt:lpwstr>
  </property>
</Properties>
</file>