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877" firstSheet="6" activeTab="9"/>
  </bookViews>
  <sheets>
    <sheet name="учителя" sheetId="1" r:id="rId1"/>
    <sheet name="учителя 50" sheetId="30" r:id="rId2"/>
    <sheet name="Адмхоз" sheetId="2" r:id="rId3"/>
    <sheet name="Адмхоз 50" sheetId="31" r:id="rId4"/>
    <sheet name="нагрузка" sheetId="17" r:id="rId5"/>
    <sheet name="квалификационный тест" sheetId="21" r:id="rId6"/>
    <sheet name="учителя допка на препод наин яз" sheetId="23" r:id="rId7"/>
    <sheet name="учителя допка 30 % (2)" sheetId="24" r:id="rId8"/>
    <sheet name="учителя допка 30 % без сертиф" sheetId="26" r:id="rId9"/>
    <sheet name="магистры" sheetId="27" r:id="rId10"/>
  </sheets>
  <definedNames>
    <definedName name="Excel_BuiltIn_Print_Area_7" localSheetId="3">#REF!</definedName>
    <definedName name="Excel_BuiltIn_Print_Area_7" localSheetId="1">#REF!</definedName>
    <definedName name="Excel_BuiltIn_Print_Area_7" localSheetId="7">#REF!</definedName>
    <definedName name="Excel_BuiltIn_Print_Area_7" localSheetId="8">#REF!</definedName>
    <definedName name="Excel_BuiltIn_Print_Area_7">#REF!</definedName>
    <definedName name="БДО" localSheetId="3">#REF!</definedName>
    <definedName name="БДО" localSheetId="1">#REF!</definedName>
    <definedName name="БДО" localSheetId="7">#REF!</definedName>
    <definedName name="БДО" localSheetId="8">#REF!</definedName>
    <definedName name="БДО" localSheetId="6">#REF!</definedName>
    <definedName name="БДО">#REF!</definedName>
    <definedName name="_xlnm.Print_Area" localSheetId="0">учителя!$A$1:$BJ$67</definedName>
    <definedName name="_xlnm.Print_Area" localSheetId="1">'учителя 50'!$A$1:$AF$67</definedName>
    <definedName name="_xlnm.Print_Area" localSheetId="7">'учителя допка 30 % (2)'!$A$1:$BI$46</definedName>
    <definedName name="_xlnm.Print_Area" localSheetId="8">'учителя допка 30 % без сертиф'!$A$1:$BI$23</definedName>
    <definedName name="_xlnm.Print_Area" localSheetId="6">'учителя допка на препод наин яз'!$A$1:$BI$19</definedName>
  </definedNames>
  <calcPr calcId="144525"/>
</workbook>
</file>

<file path=xl/sharedStrings.xml><?xml version="1.0" encoding="utf-8"?>
<sst xmlns="http://schemas.openxmlformats.org/spreadsheetml/2006/main" count="1702" uniqueCount="367">
  <si>
    <t>«Бекітемін»</t>
  </si>
  <si>
    <t>"Аршалы ауданы білім бөлімі" ММ-нің басшысы:_____________Молдахметов М Р</t>
  </si>
  <si>
    <t>"_01_"_01_______2021ж.</t>
  </si>
  <si>
    <t>Волгодонов ОМ-нің 01.01.2021 жылға еңбекақыны тарифтеуі</t>
  </si>
  <si>
    <t>БЛЖ</t>
  </si>
  <si>
    <t xml:space="preserve">№№ </t>
  </si>
  <si>
    <t>Тегі, аты, әкесінің аты</t>
  </si>
  <si>
    <t>Жүргізетін пәні</t>
  </si>
  <si>
    <t>білімі</t>
  </si>
  <si>
    <t>санаты</t>
  </si>
  <si>
    <t>ПЕД. БІРЛІКТЕР</t>
  </si>
  <si>
    <t>АЙЛЫҚ ЕҢБЕК АҚЫ</t>
  </si>
  <si>
    <t>ҚОСЫМША АҚЫЛАР МЕН ҮСТЕМЕАҚЫЛАР</t>
  </si>
  <si>
    <t>Айлық еңбек ақы, барлығы</t>
  </si>
  <si>
    <t>Жылдық еңбек ақы, барлығы</t>
  </si>
  <si>
    <t>Өтемақы төлемдері</t>
  </si>
  <si>
    <t>Біліктілік санаты, разряды</t>
  </si>
  <si>
    <t>санаты бойынша</t>
  </si>
  <si>
    <t>мамандығы бойынша еңбек өтілі</t>
  </si>
  <si>
    <t>жалақы есептеу коэффициенті</t>
  </si>
  <si>
    <t>пед. бірліктер</t>
  </si>
  <si>
    <t>АПТАЛЫҚ ЖҮКТЕМЕ САҒАТЫ</t>
  </si>
  <si>
    <t>Ауылдық жердегі жұмысы үшін арттыру</t>
  </si>
  <si>
    <t>25% қоса есептелгендегі еңбек ақы жиынтығы</t>
  </si>
  <si>
    <t xml:space="preserve">Дәптер мен жазбаша жұмыстарды тексергенi үшiн </t>
  </si>
  <si>
    <t>Сынып жетекшілігі үшін</t>
  </si>
  <si>
    <t>Мектепке басшылық жасағаны үшін</t>
  </si>
  <si>
    <t>бірінші (ілгері) деңгейдегі 100%</t>
  </si>
  <si>
    <t>екінші (негізгі) деңгейдегі 70%</t>
  </si>
  <si>
    <t>үшінші (базалық) деңгейдегі 30%</t>
  </si>
  <si>
    <t xml:space="preserve">Оқулықтардың кiтапханалық қорымен жұмыс істегенi үшін </t>
  </si>
  <si>
    <t>Жекелеген пәндердi тереңдетiп оқытқаны ушін</t>
  </si>
  <si>
    <t xml:space="preserve">Оқу кабинеттерiн меңгергенi үшін </t>
  </si>
  <si>
    <t>Ерекше еңбек жағдайлары үшін үстемеақы 10%</t>
  </si>
  <si>
    <t>Қосымша төлемдердің жиынтық сомасы</t>
  </si>
  <si>
    <t>шағын орталық</t>
  </si>
  <si>
    <t>Предшкола</t>
  </si>
  <si>
    <t>1-4сын</t>
  </si>
  <si>
    <t>5-9сын</t>
  </si>
  <si>
    <t>10-11сын</t>
  </si>
  <si>
    <t>барлығы</t>
  </si>
  <si>
    <t>мұғалімдік еңбек ақы иынтығы</t>
  </si>
  <si>
    <t>пайыз</t>
  </si>
  <si>
    <t>Сомасы</t>
  </si>
  <si>
    <t>сағ саны</t>
  </si>
  <si>
    <t>1-4сын тіл</t>
  </si>
  <si>
    <t>5-9сын тіл</t>
  </si>
  <si>
    <t>10-11сын тіл</t>
  </si>
  <si>
    <t>5-9 сын</t>
  </si>
  <si>
    <t>сағ саны жиынтығы</t>
  </si>
  <si>
    <t>Жиынтық сома</t>
  </si>
  <si>
    <t>бірлік саны</t>
  </si>
  <si>
    <t>1-4 сын</t>
  </si>
  <si>
    <t>5-11 сын</t>
  </si>
  <si>
    <t>сағат саны</t>
  </si>
  <si>
    <t>сағ. саны</t>
  </si>
  <si>
    <t>саны</t>
  </si>
  <si>
    <t>Снежицкая Светлана Александровна</t>
  </si>
  <si>
    <t>бастауыш сынып</t>
  </si>
  <si>
    <t>жоғарғы</t>
  </si>
  <si>
    <t>В2-1</t>
  </si>
  <si>
    <t>выс</t>
  </si>
  <si>
    <t>Колибаба Татьяна Михайловна</t>
  </si>
  <si>
    <t>ағылшын  тілі</t>
  </si>
  <si>
    <t>Тукенова Еркен Жарылкапбергеновна</t>
  </si>
  <si>
    <t>казақ тілі және әдебиеті</t>
  </si>
  <si>
    <t>высшая,педагог-исследователь</t>
  </si>
  <si>
    <t>Павлова Людмила Борисовна</t>
  </si>
  <si>
    <t>математика</t>
  </si>
  <si>
    <t>высшее</t>
  </si>
  <si>
    <t xml:space="preserve">Гусева Любовь Юрьевна </t>
  </si>
  <si>
    <t>орыс тілі және әдебиеті</t>
  </si>
  <si>
    <t xml:space="preserve">Жанти Ардабек </t>
  </si>
  <si>
    <t>ән  күй</t>
  </si>
  <si>
    <t>педагог-исследователь</t>
  </si>
  <si>
    <t>В2-1 жиынтығы:</t>
  </si>
  <si>
    <t>Одарич Наталья Виллеевна</t>
  </si>
  <si>
    <t xml:space="preserve">тарих және </t>
  </si>
  <si>
    <t>В2-2</t>
  </si>
  <si>
    <t>Кыдырбаева Тыныштык Узакбаевна</t>
  </si>
  <si>
    <t>педагог-эксперт</t>
  </si>
  <si>
    <t>Вакансия</t>
  </si>
  <si>
    <t>В2-3</t>
  </si>
  <si>
    <t>Байманова Галия Бектемировна</t>
  </si>
  <si>
    <t>Хавдеш Фариза</t>
  </si>
  <si>
    <t>Жанти Алмасбек</t>
  </si>
  <si>
    <t>дене шыныктыру</t>
  </si>
  <si>
    <t>1\педагог-эксперт</t>
  </si>
  <si>
    <t>Бердибеков Бауыржан Бекмуратович</t>
  </si>
  <si>
    <t>химия \биология</t>
  </si>
  <si>
    <t>Сандалхан Жанерке</t>
  </si>
  <si>
    <t>история</t>
  </si>
  <si>
    <t>Йылал Гульсара Маралтаевна</t>
  </si>
  <si>
    <t>история\география</t>
  </si>
  <si>
    <t>Абдуалиева Лайла Койшыбековна</t>
  </si>
  <si>
    <t>Кенжегулова К.Е.</t>
  </si>
  <si>
    <t xml:space="preserve">Лапина Ирина Викторовна </t>
  </si>
  <si>
    <t>бастауыш сынып нач клас</t>
  </si>
  <si>
    <t>1педагог-эксперт</t>
  </si>
  <si>
    <t>В2-2 жиынтығы:</t>
  </si>
  <si>
    <t>Байманова Гулсина</t>
  </si>
  <si>
    <t>Кенжалиев Асылбек</t>
  </si>
  <si>
    <t>география</t>
  </si>
  <si>
    <t>2\педагог -модератор</t>
  </si>
  <si>
    <t>Жумабаева Асель Каирбековна</t>
  </si>
  <si>
    <t>химия</t>
  </si>
  <si>
    <t>Фоминых Валентина Владимировна</t>
  </si>
  <si>
    <t>В2-3 жиынтығы:</t>
  </si>
  <si>
    <t>информатика</t>
  </si>
  <si>
    <t>В2-4</t>
  </si>
  <si>
    <t>б\к</t>
  </si>
  <si>
    <t>Тлемисова Сания Еркиновна</t>
  </si>
  <si>
    <t>английский язык</t>
  </si>
  <si>
    <t>педагог-модератор</t>
  </si>
  <si>
    <t>Гусев Владимир Александрович</t>
  </si>
  <si>
    <t>физкультура</t>
  </si>
  <si>
    <t xml:space="preserve">Пшембаев Муратбек Балгабекович </t>
  </si>
  <si>
    <t>Каким Жанболат Жанибекулы</t>
  </si>
  <si>
    <t>Журкин Ернар Балтатаевич</t>
  </si>
  <si>
    <t>физика</t>
  </si>
  <si>
    <t>педагог модер</t>
  </si>
  <si>
    <t>биология /вакансия/</t>
  </si>
  <si>
    <t>Ковалева Татьяна Николаевна</t>
  </si>
  <si>
    <t>өзін өзі тану</t>
  </si>
  <si>
    <t>Абильхайырова Сандугаш</t>
  </si>
  <si>
    <t>Бугайчук Татьяна Николаевна</t>
  </si>
  <si>
    <t>русский язык и литература</t>
  </si>
  <si>
    <t>б/к</t>
  </si>
  <si>
    <t>Сатанова Асель Сериковна</t>
  </si>
  <si>
    <t>қазақ тілі мен әдебиеті</t>
  </si>
  <si>
    <t>до года</t>
  </si>
  <si>
    <t>Жаканова Перизат Бахитжановна</t>
  </si>
  <si>
    <t>В2-4жиынтығы:</t>
  </si>
  <si>
    <t>Костина Елена Николаевна</t>
  </si>
  <si>
    <t>тәрбиеші</t>
  </si>
  <si>
    <t>арнаулы орта</t>
  </si>
  <si>
    <t>В4-2</t>
  </si>
  <si>
    <t>Пархоменко Вера Николаевна</t>
  </si>
  <si>
    <t>Бердібек Аида</t>
  </si>
  <si>
    <t>информатика,худ труд</t>
  </si>
  <si>
    <t>Икимова Раушан Каиргельдиновна</t>
  </si>
  <si>
    <t>В4-2 жиынтығы:</t>
  </si>
  <si>
    <t>Барлығы</t>
  </si>
  <si>
    <t>Бас экономист:</t>
  </si>
  <si>
    <t>Акылбаев Б.К.</t>
  </si>
  <si>
    <t xml:space="preserve">Мектеп директоры:  </t>
  </si>
  <si>
    <t>Л.Гусева</t>
  </si>
  <si>
    <t>Кадрлер бөлімінің әдіскері:</t>
  </si>
  <si>
    <t>Жанабергенова А.К.</t>
  </si>
  <si>
    <t xml:space="preserve">Оқу бөлімінің меңгерушісі: </t>
  </si>
  <si>
    <t>Қыдырбаева Т Ұ</t>
  </si>
  <si>
    <t>Аға бухгалтер:</t>
  </si>
  <si>
    <t>Баймулдина Г.Б.</t>
  </si>
  <si>
    <t xml:space="preserve">Бухгалтер: </t>
  </si>
  <si>
    <t>Алмагамбетова М</t>
  </si>
  <si>
    <t>Зав РМЦ:                                                                                                                                                        Мамбетов Т.Ж.</t>
  </si>
  <si>
    <t>"Аршалы ауданы білім бөлімі" ММ-нің басшысы м.а:_____________Молдахметов М.Р.</t>
  </si>
  <si>
    <t>«___01__»__01________2021ж.</t>
  </si>
  <si>
    <t xml:space="preserve">       ____________________________ОМ-нің 01.01.2021 жылға еңбекақыны тарифтеуі</t>
  </si>
  <si>
    <t>Лауазым атауы</t>
  </si>
  <si>
    <t>штаттық бірлік</t>
  </si>
  <si>
    <t>Қызметтік айлықақы</t>
  </si>
  <si>
    <t>Кәсіптік, біліктілік санаты, разряды</t>
  </si>
  <si>
    <t>Оқулықтардың кiтапханалық қорымен жұмыс істегенi үшін</t>
  </si>
  <si>
    <t>Сыныптық біліктілігі үшін</t>
  </si>
  <si>
    <t>Мереке кундері үшін</t>
  </si>
  <si>
    <t>түнгі жұмыс үшін</t>
  </si>
  <si>
    <t>сомасы</t>
  </si>
  <si>
    <t>бірлік</t>
  </si>
  <si>
    <t>%</t>
  </si>
  <si>
    <t>кун саны</t>
  </si>
  <si>
    <t>А блогы</t>
  </si>
  <si>
    <t>Гусева Любовь Юрьевна</t>
  </si>
  <si>
    <t>руководитель ГУ</t>
  </si>
  <si>
    <t>А1-3</t>
  </si>
  <si>
    <t>зам по УВР</t>
  </si>
  <si>
    <t>А1-3-1</t>
  </si>
  <si>
    <t>зам по  ВР</t>
  </si>
  <si>
    <t>Лепина Елена Борисовна</t>
  </si>
  <si>
    <t>завхоз</t>
  </si>
  <si>
    <t>среднее</t>
  </si>
  <si>
    <t>С3</t>
  </si>
  <si>
    <t>А блогы барлығы</t>
  </si>
  <si>
    <t>В блогы</t>
  </si>
  <si>
    <t>психолог</t>
  </si>
  <si>
    <t>В2 -3</t>
  </si>
  <si>
    <t>Закумбаев Аскар Бахитович</t>
  </si>
  <si>
    <t>военрук</t>
  </si>
  <si>
    <t>В2- 3</t>
  </si>
  <si>
    <t>Каракольчева Ксения Александровна</t>
  </si>
  <si>
    <t>логопед</t>
  </si>
  <si>
    <t>В2- 4</t>
  </si>
  <si>
    <t>Хасаншина Светлана Николаевна</t>
  </si>
  <si>
    <t>вожатая</t>
  </si>
  <si>
    <t>12л2м</t>
  </si>
  <si>
    <t>В блогы барлығы</t>
  </si>
  <si>
    <t>С блогы</t>
  </si>
  <si>
    <t>Кусельбаева Гульнар Ислямовна</t>
  </si>
  <si>
    <t>библиотекарь</t>
  </si>
  <si>
    <t>среднее спец.</t>
  </si>
  <si>
    <t>С блогы барлығы</t>
  </si>
  <si>
    <t>D блогы</t>
  </si>
  <si>
    <t>Джумабекова Фатима Маратовна</t>
  </si>
  <si>
    <t>делопроизводитель</t>
  </si>
  <si>
    <t>D</t>
  </si>
  <si>
    <t>Жұмысшылар              D блогы</t>
  </si>
  <si>
    <t>Хлопова Альвина Яковлевна</t>
  </si>
  <si>
    <t>техничка</t>
  </si>
  <si>
    <t>Любименко Наталья Васильевна</t>
  </si>
  <si>
    <t>Хлопов Олег Викторович</t>
  </si>
  <si>
    <t>сторож</t>
  </si>
  <si>
    <t>Бондарев Владимир Викторович</t>
  </si>
  <si>
    <t>слесарь</t>
  </si>
  <si>
    <t xml:space="preserve">Титаренко Ирина </t>
  </si>
  <si>
    <t>вахтер</t>
  </si>
  <si>
    <t>неполное среднее</t>
  </si>
  <si>
    <t>Болих Вероника Витальевна</t>
  </si>
  <si>
    <t>Жумысшылар барлығы</t>
  </si>
  <si>
    <t>Жиынтығы:</t>
  </si>
  <si>
    <t>Кадрлер бөлімінің инспекторы:</t>
  </si>
  <si>
    <t>Зав.РМЦ:</t>
  </si>
  <si>
    <t>Мамбетов Т,Ж.</t>
  </si>
  <si>
    <t>"Аршалы ауданы білім бөлімі" ММ-нің басшысы :_____________Молдахметов М.Р.</t>
  </si>
  <si>
    <t>Ведомость учебной нагрузки по Волгодоновской СШ на январь 2020 уч.год</t>
  </si>
  <si>
    <t>русский</t>
  </si>
  <si>
    <t xml:space="preserve">казахский </t>
  </si>
  <si>
    <t>Ф.И.О.</t>
  </si>
  <si>
    <t>Предмет</t>
  </si>
  <si>
    <t>Ставка</t>
  </si>
  <si>
    <t>ППШ</t>
  </si>
  <si>
    <t>Факультативы</t>
  </si>
  <si>
    <t>кружки</t>
  </si>
  <si>
    <t>1а</t>
  </si>
  <si>
    <t>1б</t>
  </si>
  <si>
    <t>2а</t>
  </si>
  <si>
    <t>2б</t>
  </si>
  <si>
    <t>3а</t>
  </si>
  <si>
    <t>3б</t>
  </si>
  <si>
    <t>4а</t>
  </si>
  <si>
    <t>4б</t>
  </si>
  <si>
    <t>1-4 кл</t>
  </si>
  <si>
    <t>5б</t>
  </si>
  <si>
    <t>5а</t>
  </si>
  <si>
    <t>6б</t>
  </si>
  <si>
    <t>6а</t>
  </si>
  <si>
    <t>7б</t>
  </si>
  <si>
    <t>7а</t>
  </si>
  <si>
    <t>8а</t>
  </si>
  <si>
    <t>8б</t>
  </si>
  <si>
    <t>9а</t>
  </si>
  <si>
    <t>9б</t>
  </si>
  <si>
    <t>5-9 кл</t>
  </si>
  <si>
    <t>10а</t>
  </si>
  <si>
    <t>10б</t>
  </si>
  <si>
    <t>11б</t>
  </si>
  <si>
    <t>11 а</t>
  </si>
  <si>
    <t>10-11кл</t>
  </si>
  <si>
    <t>итого</t>
  </si>
  <si>
    <t xml:space="preserve"> Пархоменко В.Н.</t>
  </si>
  <si>
    <t>нач.классы</t>
  </si>
  <si>
    <t>Байманова Гульсина Сабырбековна</t>
  </si>
  <si>
    <t>нач.классы/каз.яз</t>
  </si>
  <si>
    <t>Лапина Ирина Викторовна</t>
  </si>
  <si>
    <t>Кенжегулова Карлыгаш Ертаевна</t>
  </si>
  <si>
    <t>Абильхайырова Сандугаш Болаткызы</t>
  </si>
  <si>
    <t>самопознание</t>
  </si>
  <si>
    <t>самопозн</t>
  </si>
  <si>
    <t>англ.яз.</t>
  </si>
  <si>
    <t>Кенжалиев Асылбек Камалович</t>
  </si>
  <si>
    <t>Жумабаева Асель Каирбековна(вакансия)</t>
  </si>
  <si>
    <t>биология</t>
  </si>
  <si>
    <t>Бердибек Аида</t>
  </si>
  <si>
    <t xml:space="preserve">худ.труд\информатика </t>
  </si>
  <si>
    <t>Журкин Ернар Балтабаевич</t>
  </si>
  <si>
    <t>рус..яз.и лит</t>
  </si>
  <si>
    <t>рус.яз и лит.</t>
  </si>
  <si>
    <t>русская речь</t>
  </si>
  <si>
    <t>каз.яз и лит.</t>
  </si>
  <si>
    <t>истор\геогр/религ</t>
  </si>
  <si>
    <t>Каким Жанболат</t>
  </si>
  <si>
    <t>Жаканова Перизат</t>
  </si>
  <si>
    <t>Абдуалиева Лайля Койшыбековна</t>
  </si>
  <si>
    <t>матем</t>
  </si>
  <si>
    <t>каз.яз. и лит.</t>
  </si>
  <si>
    <t>Жанти Ардабек</t>
  </si>
  <si>
    <t>музыка</t>
  </si>
  <si>
    <t>физкульт.</t>
  </si>
  <si>
    <t>Пшембаев М.Б.</t>
  </si>
  <si>
    <t>Бердибеков Бауржан Бекмуратович</t>
  </si>
  <si>
    <t>Асель Сериковна</t>
  </si>
  <si>
    <t>каз лит и каз.яз</t>
  </si>
  <si>
    <t>Жанерке Сандалхан</t>
  </si>
  <si>
    <t>история\религ</t>
  </si>
  <si>
    <t>ПШ</t>
  </si>
  <si>
    <t>Миненко Надежда Алексеевна</t>
  </si>
  <si>
    <t>мини-центр</t>
  </si>
  <si>
    <t>Итого:</t>
  </si>
  <si>
    <t>Директор школы:</t>
  </si>
  <si>
    <t>Гусева Л.Ю.</t>
  </si>
  <si>
    <t xml:space="preserve">                     </t>
  </si>
  <si>
    <t>Завуч школы:</t>
  </si>
  <si>
    <t>"Аршалы ауданы білім бөлімі" ММ-нің басшысы:_____________ Молдахметов М.Р.</t>
  </si>
  <si>
    <t>"_01_"_01________2021ж.</t>
  </si>
  <si>
    <r>
      <rPr>
        <b/>
        <sz val="12"/>
        <rFont val="Arial Cyr"/>
        <charset val="204"/>
      </rPr>
      <t>Волгодон ОМ  01.01.2021 жылға еңбекақыны тарифтеуі 30 %,35</t>
    </r>
    <r>
      <rPr>
        <b/>
        <strike/>
        <sz val="12"/>
        <rFont val="Arial Cyr"/>
        <charset val="204"/>
      </rPr>
      <t>%,40%</t>
    </r>
  </si>
  <si>
    <t xml:space="preserve"> қоса есептелгендегі еңбек ақы жиынтығы</t>
  </si>
  <si>
    <t>педагог-мастер 50%</t>
  </si>
  <si>
    <t>педагог-исследователь 40%</t>
  </si>
  <si>
    <t>педагог-эксперт 35%</t>
  </si>
  <si>
    <t>педагог-модератор 30%</t>
  </si>
  <si>
    <t>жогаргы</t>
  </si>
  <si>
    <t xml:space="preserve"> Жанти Алмасбек</t>
  </si>
  <si>
    <t>физ-ра</t>
  </si>
  <si>
    <t>педагог -эксперт</t>
  </si>
  <si>
    <t>11л3м</t>
  </si>
  <si>
    <t>рус.яз и лит</t>
  </si>
  <si>
    <t>Бердiбеков Бауыржан Бекмуратович</t>
  </si>
  <si>
    <t>химия и биология</t>
  </si>
  <si>
    <t>19л4м</t>
  </si>
  <si>
    <t>Сандалхан Жанарке</t>
  </si>
  <si>
    <t>история/география</t>
  </si>
  <si>
    <t xml:space="preserve">Лапина Ирина Викторовна  </t>
  </si>
  <si>
    <t>нач.кл.</t>
  </si>
  <si>
    <t>Байманова Гулсина Сабыржановна</t>
  </si>
  <si>
    <t>средн-спец</t>
  </si>
  <si>
    <t>Жумабаева Асель Каирбекова</t>
  </si>
  <si>
    <t>Абильхайырова Сандугаш Болатбаевна</t>
  </si>
  <si>
    <t>Тлемисова Сания еркиновна</t>
  </si>
  <si>
    <t>анг.яз</t>
  </si>
  <si>
    <t xml:space="preserve">Мектеп директоры:                                        </t>
  </si>
  <si>
    <t>Бас экономист:                                                                Пасечник Н.Г.</t>
  </si>
  <si>
    <t xml:space="preserve">                               Акылбаев Б.К.</t>
  </si>
  <si>
    <t xml:space="preserve"> </t>
  </si>
  <si>
    <t xml:space="preserve">Кадрлер бөлімінің әдіскері:                                 Жанабергенова А.К.              </t>
  </si>
  <si>
    <t>Зав.РМЦ:                                                                          Мамбетов Т.Ж.</t>
  </si>
  <si>
    <t xml:space="preserve">Аға бухгалтер:                                   Баймулдина </t>
  </si>
  <si>
    <t xml:space="preserve">                                     Баймулдина Г.Б.</t>
  </si>
  <si>
    <t>,</t>
  </si>
  <si>
    <t>Волгодон ОМ  01.01.2021жылға еңбекақыны тарифтеуі 30 %</t>
  </si>
  <si>
    <t>жаңартылған бағдарлама бойынша үстемеақы 200%</t>
  </si>
  <si>
    <t>төлеуге жататын сағат саны</t>
  </si>
  <si>
    <t>Мектеп директоры:                                        Слободянюк И.А.</t>
  </si>
  <si>
    <t>Пасечник Н.Г.</t>
  </si>
  <si>
    <t>Методист по кадрам</t>
  </si>
  <si>
    <t>Жанабергенова А.Х.</t>
  </si>
  <si>
    <t>Мамбетов Т.Ж.</t>
  </si>
  <si>
    <t>Алмагамбетова М.</t>
  </si>
  <si>
    <t>"Аршалы ауданы білім бөлімі" ММ-нің басшысы:__________ Молдахметов М.Р.</t>
  </si>
  <si>
    <t>Волгодонов ОМ 01.01.2021 жылға еңбекақыны тарифтеуі 30 %</t>
  </si>
  <si>
    <t>жаңартылған бағдарлама бойынша үстемеақы 30%</t>
  </si>
  <si>
    <t>37л4м</t>
  </si>
  <si>
    <t>25,5м</t>
  </si>
  <si>
    <t>Кыдырбаева Тыныштык Узакбаева</t>
  </si>
  <si>
    <t>нач.классы/самопозн</t>
  </si>
  <si>
    <t>В2-4 жиынтығы:</t>
  </si>
  <si>
    <t>Кыдырбаева Т.У.</t>
  </si>
  <si>
    <t>Заведующий метод.кабинетов.</t>
  </si>
  <si>
    <t>Пшембаев Муратбек Балгабекович</t>
  </si>
  <si>
    <t>казахский язык и литература</t>
  </si>
  <si>
    <t>информатика\худ.труд</t>
  </si>
  <si>
    <t>ср-спец</t>
  </si>
  <si>
    <t>Зав.РМЦ</t>
  </si>
  <si>
    <t>"Аршалы ауданы білім бөлімі" ММ-нің басшысы:_____________ Молдахметов М .Р</t>
  </si>
  <si>
    <t>"_01_"_09_______2020ж.</t>
  </si>
  <si>
    <t>Волгодонов ОМ 01.01.2020 жылға магистрлер еңбек ақысы</t>
  </si>
  <si>
    <t>МРП</t>
  </si>
  <si>
    <t>магистр</t>
  </si>
  <si>
    <t>географ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</si>
</sst>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178" formatCode="_-* #,##0.00_р_._-;\-* #,##0.00_р_._-;_-* &quot;-&quot;??_р_._-;_-@_-"/>
    <numFmt numFmtId="179" formatCode="0.0"/>
    <numFmt numFmtId="180" formatCode="0.000"/>
  </numFmts>
  <fonts count="57">
    <font>
      <sz val="10"/>
      <name val="Arial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4"/>
      <color indexed="8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b/>
      <sz val="16"/>
      <color indexed="8"/>
      <name val="Times New Roman"/>
      <charset val="204"/>
    </font>
    <font>
      <sz val="14"/>
      <color indexed="8"/>
      <name val="Arial Cyr"/>
      <charset val="204"/>
    </font>
    <font>
      <sz val="12"/>
      <name val="Times New Roman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6"/>
      <name val="Times New Roman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b/>
      <sz val="11"/>
      <name val="Arial Cyr"/>
      <charset val="204"/>
    </font>
    <font>
      <b/>
      <sz val="20"/>
      <name val="Aharoni"/>
      <charset val="177"/>
    </font>
    <font>
      <b/>
      <sz val="20"/>
      <name val="Arial"/>
      <charset val="204"/>
    </font>
    <font>
      <sz val="20"/>
      <name val="Arial"/>
      <charset val="204"/>
    </font>
    <font>
      <b/>
      <sz val="20"/>
      <name val="Arial Cyr"/>
      <charset val="204"/>
    </font>
    <font>
      <sz val="20"/>
      <color rgb="FFFF0000"/>
      <name val="Arial"/>
      <charset val="204"/>
    </font>
    <font>
      <b/>
      <sz val="14"/>
      <name val="Arial Cyr"/>
      <charset val="204"/>
    </font>
    <font>
      <sz val="14"/>
      <name val="Arial"/>
      <charset val="204"/>
    </font>
    <font>
      <b/>
      <sz val="12"/>
      <color rgb="FFFF0000"/>
      <name val="Arial Cyr"/>
      <charset val="204"/>
    </font>
    <font>
      <sz val="12"/>
      <color rgb="FFFF0000"/>
      <name val="Arial"/>
      <charset val="204"/>
    </font>
    <font>
      <sz val="14"/>
      <color indexed="8"/>
      <name val="Times New Roman"/>
      <charset val="204"/>
    </font>
    <font>
      <b/>
      <sz val="12"/>
      <name val="Arial"/>
      <charset val="204"/>
    </font>
    <font>
      <sz val="14"/>
      <color rgb="FFFF0000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 Cyr"/>
      <charset val="204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trike/>
      <sz val="12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37" fillId="5" borderId="0" applyNumberFormat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39" fillId="0" borderId="0"/>
    <xf numFmtId="177" fontId="35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0" fillId="22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14" borderId="2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30" borderId="27" applyNumberFormat="0" applyAlignment="0" applyProtection="0">
      <alignment vertical="center"/>
    </xf>
    <xf numFmtId="0" fontId="46" fillId="28" borderId="25" applyNumberFormat="0" applyAlignment="0" applyProtection="0">
      <alignment vertical="center"/>
    </xf>
    <xf numFmtId="0" fontId="52" fillId="22" borderId="27" applyNumberFormat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37" fillId="1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178" fontId="0" fillId="0" borderId="0" applyFill="0" applyBorder="0" applyAlignment="0" applyProtection="0"/>
  </cellStyleXfs>
  <cellXfs count="462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53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/>
    </xf>
    <xf numFmtId="179" fontId="6" fillId="0" borderId="4" xfId="0" applyNumberFormat="1" applyFont="1" applyFill="1" applyBorder="1" applyAlignment="1" applyProtection="1">
      <alignment horizontal="right" wrapText="1"/>
    </xf>
    <xf numFmtId="2" fontId="6" fillId="0" borderId="4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/>
    </xf>
    <xf numFmtId="179" fontId="6" fillId="0" borderId="1" xfId="0" applyNumberFormat="1" applyFont="1" applyFill="1" applyBorder="1" applyAlignment="1" applyProtection="1">
      <alignment horizontal="right" wrapText="1"/>
    </xf>
    <xf numFmtId="0" fontId="4" fillId="0" borderId="4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7" xfId="53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0" xfId="53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7" fillId="0" borderId="0" xfId="0" applyFont="1"/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wrapText="1"/>
    </xf>
    <xf numFmtId="1" fontId="4" fillId="0" borderId="4" xfId="53" applyNumberFormat="1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wrapText="1"/>
    </xf>
    <xf numFmtId="0" fontId="4" fillId="0" borderId="6" xfId="0" applyFont="1" applyFill="1" applyBorder="1" applyProtection="1"/>
    <xf numFmtId="2" fontId="4" fillId="0" borderId="0" xfId="0" applyNumberFormat="1" applyFont="1" applyFill="1" applyAlignment="1" applyProtection="1">
      <protection locked="0"/>
    </xf>
    <xf numFmtId="0" fontId="4" fillId="0" borderId="6" xfId="0" applyNumberFormat="1" applyFont="1" applyFill="1" applyBorder="1" applyAlignment="1" applyProtection="1">
      <alignment wrapText="1"/>
    </xf>
    <xf numFmtId="0" fontId="4" fillId="0" borderId="6" xfId="53" applyFont="1" applyFill="1" applyBorder="1" applyAlignment="1" applyProtection="1">
      <alignment wrapText="1"/>
    </xf>
    <xf numFmtId="58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wrapText="1"/>
    </xf>
    <xf numFmtId="2" fontId="4" fillId="0" borderId="4" xfId="0" applyNumberFormat="1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9" fillId="0" borderId="2" xfId="53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wrapText="1"/>
    </xf>
    <xf numFmtId="179" fontId="5" fillId="0" borderId="4" xfId="0" applyNumberFormat="1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 wrapText="1"/>
    </xf>
    <xf numFmtId="2" fontId="1" fillId="0" borderId="1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1" fillId="0" borderId="7" xfId="53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wrapText="1"/>
    </xf>
    <xf numFmtId="1" fontId="12" fillId="0" borderId="4" xfId="53" applyNumberFormat="1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wrapText="1"/>
    </xf>
    <xf numFmtId="179" fontId="9" fillId="0" borderId="1" xfId="0" applyNumberFormat="1" applyFont="1" applyFill="1" applyBorder="1" applyAlignment="1" applyProtection="1">
      <alignment wrapText="1"/>
    </xf>
    <xf numFmtId="1" fontId="1" fillId="0" borderId="4" xfId="53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</xf>
    <xf numFmtId="2" fontId="1" fillId="0" borderId="6" xfId="0" applyNumberFormat="1" applyFont="1" applyFill="1" applyBorder="1" applyAlignment="1" applyProtection="1">
      <alignment wrapText="1"/>
    </xf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2" fontId="1" fillId="0" borderId="0" xfId="0" applyNumberFormat="1" applyFont="1" applyFill="1" applyAlignment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6" xfId="53" applyFont="1" applyFill="1" applyBorder="1" applyAlignment="1" applyProtection="1">
      <alignment wrapText="1"/>
    </xf>
    <xf numFmtId="58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wrapText="1"/>
    </xf>
    <xf numFmtId="2" fontId="1" fillId="0" borderId="4" xfId="0" applyNumberFormat="1" applyFont="1" applyFill="1" applyBorder="1" applyAlignment="1" applyProtection="1">
      <alignment wrapText="1"/>
    </xf>
    <xf numFmtId="179" fontId="1" fillId="0" borderId="6" xfId="0" applyNumberFormat="1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horizontal="left" wrapText="1"/>
    </xf>
    <xf numFmtId="0" fontId="5" fillId="0" borderId="4" xfId="53" applyFont="1" applyFill="1" applyBorder="1" applyAlignment="1" applyProtection="1">
      <alignment horizontal="center" wrapText="1"/>
    </xf>
    <xf numFmtId="2" fontId="10" fillId="0" borderId="4" xfId="0" applyNumberFormat="1" applyFont="1" applyFill="1" applyBorder="1" applyAlignment="1" applyProtection="1">
      <alignment wrapText="1"/>
    </xf>
    <xf numFmtId="0" fontId="15" fillId="0" borderId="4" xfId="0" applyFont="1" applyFill="1" applyBorder="1" applyAlignment="1" applyProtection="1">
      <alignment wrapText="1"/>
    </xf>
    <xf numFmtId="0" fontId="1" fillId="0" borderId="2" xfId="53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 applyProtection="1">
      <alignment horizontal="center" wrapText="1"/>
    </xf>
    <xf numFmtId="2" fontId="5" fillId="0" borderId="4" xfId="0" applyNumberFormat="1" applyFont="1" applyFill="1" applyBorder="1" applyAlignment="1" applyProtection="1">
      <alignment horizontal="right" wrapText="1"/>
    </xf>
    <xf numFmtId="2" fontId="15" fillId="0" borderId="4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vertical="center" wrapText="1"/>
    </xf>
    <xf numFmtId="179" fontId="5" fillId="0" borderId="4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wrapText="1"/>
    </xf>
    <xf numFmtId="0" fontId="12" fillId="0" borderId="4" xfId="53" applyFont="1" applyFill="1" applyBorder="1" applyAlignment="1" applyProtection="1">
      <alignment horizontal="center" wrapText="1"/>
    </xf>
    <xf numFmtId="1" fontId="2" fillId="0" borderId="6" xfId="0" applyNumberFormat="1" applyFont="1" applyFill="1" applyBorder="1" applyAlignment="1" applyProtection="1">
      <alignment wrapText="1"/>
    </xf>
    <xf numFmtId="1" fontId="1" fillId="0" borderId="4" xfId="0" applyNumberFormat="1" applyFont="1" applyFill="1" applyBorder="1" applyAlignment="1" applyProtection="1">
      <alignment horizontal="center" wrapText="1"/>
    </xf>
    <xf numFmtId="179" fontId="2" fillId="0" borderId="6" xfId="0" applyNumberFormat="1" applyFont="1" applyFill="1" applyBorder="1" applyAlignment="1" applyProtection="1">
      <alignment wrapText="1"/>
    </xf>
    <xf numFmtId="0" fontId="5" fillId="0" borderId="4" xfId="0" applyFont="1" applyFill="1" applyBorder="1" applyProtection="1"/>
    <xf numFmtId="0" fontId="9" fillId="0" borderId="4" xfId="0" applyFont="1" applyFill="1" applyBorder="1" applyProtection="1"/>
    <xf numFmtId="0" fontId="1" fillId="0" borderId="4" xfId="53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 wrapText="1"/>
    </xf>
    <xf numFmtId="1" fontId="2" fillId="0" borderId="1" xfId="0" applyNumberFormat="1" applyFont="1" applyFill="1" applyBorder="1" applyAlignment="1" applyProtection="1">
      <alignment wrapText="1"/>
    </xf>
    <xf numFmtId="1" fontId="2" fillId="0" borderId="5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wrapText="1"/>
    </xf>
    <xf numFmtId="180" fontId="2" fillId="0" borderId="4" xfId="0" applyNumberFormat="1" applyFont="1" applyFill="1" applyBorder="1" applyAlignment="1" applyProtection="1">
      <alignment wrapText="1"/>
    </xf>
    <xf numFmtId="0" fontId="14" fillId="2" borderId="6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wrapText="1"/>
    </xf>
    <xf numFmtId="2" fontId="2" fillId="0" borderId="6" xfId="0" applyNumberFormat="1" applyFont="1" applyFill="1" applyBorder="1" applyAlignment="1" applyProtection="1">
      <alignment wrapText="1"/>
    </xf>
    <xf numFmtId="2" fontId="0" fillId="0" borderId="0" xfId="0" applyNumberForma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wrapText="1"/>
    </xf>
    <xf numFmtId="0" fontId="18" fillId="0" borderId="4" xfId="0" applyFont="1" applyFill="1" applyBorder="1"/>
    <xf numFmtId="0" fontId="19" fillId="0" borderId="4" xfId="0" applyFont="1" applyFill="1" applyBorder="1" applyAlignment="1">
      <alignment horizontal="left"/>
    </xf>
    <xf numFmtId="0" fontId="20" fillId="0" borderId="4" xfId="0" applyFont="1" applyFill="1" applyBorder="1" applyAlignment="1" applyProtection="1">
      <alignment horizontal="center" wrapText="1"/>
    </xf>
    <xf numFmtId="2" fontId="5" fillId="0" borderId="4" xfId="0" applyNumberFormat="1" applyFont="1" applyFill="1" applyBorder="1" applyAlignment="1" applyProtection="1">
      <alignment wrapText="1"/>
    </xf>
    <xf numFmtId="0" fontId="1" fillId="0" borderId="4" xfId="53" applyFont="1" applyFill="1" applyBorder="1" applyAlignment="1" applyProtection="1">
      <alignment vertical="center" wrapText="1"/>
    </xf>
    <xf numFmtId="0" fontId="21" fillId="0" borderId="4" xfId="0" applyFont="1" applyFill="1" applyBorder="1" applyAlignment="1" applyProtection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22" fillId="0" borderId="4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1" fillId="0" borderId="6" xfId="53" applyNumberFormat="1" applyFont="1" applyFill="1" applyBorder="1" applyAlignment="1" applyProtection="1">
      <alignment wrapText="1"/>
    </xf>
    <xf numFmtId="0" fontId="9" fillId="0" borderId="1" xfId="0" applyFont="1" applyFill="1" applyBorder="1" applyProtection="1"/>
    <xf numFmtId="1" fontId="1" fillId="0" borderId="4" xfId="53" applyNumberFormat="1" applyFont="1" applyFill="1" applyBorder="1" applyAlignment="1" applyProtection="1">
      <alignment wrapText="1"/>
    </xf>
    <xf numFmtId="0" fontId="1" fillId="0" borderId="4" xfId="53" applyFont="1" applyFill="1" applyBorder="1" applyAlignment="1" applyProtection="1">
      <alignment wrapText="1"/>
    </xf>
    <xf numFmtId="0" fontId="3" fillId="0" borderId="4" xfId="0" applyFont="1" applyFill="1" applyBorder="1" applyProtection="1"/>
    <xf numFmtId="1" fontId="1" fillId="0" borderId="4" xfId="0" applyNumberFormat="1" applyFont="1" applyFill="1" applyBorder="1" applyAlignment="1" applyProtection="1">
      <alignment wrapText="1"/>
    </xf>
    <xf numFmtId="2" fontId="1" fillId="0" borderId="0" xfId="0" applyNumberFormat="1" applyFont="1" applyFill="1" applyAlignment="1" applyProtection="1">
      <alignment wrapText="1"/>
      <protection locked="0"/>
    </xf>
    <xf numFmtId="2" fontId="1" fillId="0" borderId="0" xfId="0" applyNumberFormat="1" applyFont="1" applyFill="1" applyAlignment="1" applyProtection="1">
      <alignment wrapText="1"/>
    </xf>
    <xf numFmtId="0" fontId="17" fillId="0" borderId="2" xfId="0" applyFont="1" applyFill="1" applyBorder="1" applyAlignment="1" applyProtection="1">
      <alignment vertical="center" wrapText="1"/>
    </xf>
    <xf numFmtId="2" fontId="2" fillId="0" borderId="9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 applyProtection="1">
      <protection locked="0"/>
    </xf>
    <xf numFmtId="0" fontId="1" fillId="2" borderId="6" xfId="53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13" fillId="0" borderId="4" xfId="0" applyNumberFormat="1" applyFont="1" applyBorder="1" applyAlignment="1" applyProtection="1">
      <alignment wrapText="1"/>
    </xf>
    <xf numFmtId="2" fontId="1" fillId="0" borderId="4" xfId="0" applyNumberFormat="1" applyFont="1" applyFill="1" applyBorder="1" applyAlignment="1" applyProtection="1">
      <alignment horizontal="right" wrapText="1"/>
    </xf>
    <xf numFmtId="0" fontId="23" fillId="2" borderId="0" xfId="0" applyNumberFormat="1" applyFont="1" applyFill="1" applyAlignment="1" applyProtection="1">
      <alignment horizontal="left"/>
      <protection locked="0"/>
    </xf>
    <xf numFmtId="0" fontId="24" fillId="2" borderId="0" xfId="0" applyNumberFormat="1" applyFont="1" applyFill="1" applyAlignment="1" applyProtection="1">
      <alignment horizontal="left"/>
      <protection locked="0"/>
    </xf>
    <xf numFmtId="0" fontId="25" fillId="2" borderId="0" xfId="0" applyNumberFormat="1" applyFont="1" applyFill="1" applyAlignment="1" applyProtection="1">
      <alignment horizontal="left"/>
      <protection locked="0"/>
    </xf>
    <xf numFmtId="0" fontId="5" fillId="2" borderId="14" xfId="0" applyNumberFormat="1" applyFont="1" applyFill="1" applyBorder="1" applyProtection="1"/>
    <xf numFmtId="0" fontId="9" fillId="2" borderId="14" xfId="0" applyNumberFormat="1" applyFont="1" applyFill="1" applyBorder="1" applyProtection="1"/>
    <xf numFmtId="0" fontId="25" fillId="2" borderId="14" xfId="0" applyNumberFormat="1" applyFont="1" applyFill="1" applyBorder="1" applyProtection="1"/>
    <xf numFmtId="0" fontId="24" fillId="2" borderId="15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Protection="1"/>
    <xf numFmtId="0" fontId="9" fillId="2" borderId="6" xfId="0" applyNumberFormat="1" applyFont="1" applyFill="1" applyBorder="1" applyProtection="1"/>
    <xf numFmtId="0" fontId="25" fillId="2" borderId="6" xfId="0" applyNumberFormat="1" applyFont="1" applyFill="1" applyBorder="1" applyProtection="1"/>
    <xf numFmtId="0" fontId="25" fillId="4" borderId="4" xfId="0" applyNumberFormat="1" applyFont="1" applyFill="1" applyBorder="1" applyProtection="1"/>
    <xf numFmtId="0" fontId="5" fillId="5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NumberFormat="1" applyFont="1" applyFill="1" applyBorder="1" applyAlignment="1" applyProtection="1">
      <alignment horizontal="center"/>
      <protection locked="0"/>
    </xf>
    <xf numFmtId="0" fontId="5" fillId="5" borderId="6" xfId="0" applyNumberFormat="1" applyFont="1" applyFill="1" applyBorder="1" applyAlignment="1" applyProtection="1">
      <alignment horizontal="left" vertical="center"/>
      <protection locked="0"/>
    </xf>
    <xf numFmtId="0" fontId="5" fillId="6" borderId="4" xfId="0" applyNumberFormat="1" applyFont="1" applyFill="1" applyBorder="1" applyAlignment="1" applyProtection="1">
      <alignment horizontal="left" vertical="center"/>
      <protection locked="0"/>
    </xf>
    <xf numFmtId="1" fontId="25" fillId="2" borderId="4" xfId="0" applyNumberFormat="1" applyFont="1" applyFill="1" applyBorder="1" applyAlignment="1" applyProtection="1">
      <alignment horizontal="center"/>
      <protection locked="0"/>
    </xf>
    <xf numFmtId="0" fontId="5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5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horizontal="center" wrapText="1"/>
      <protection locked="0"/>
    </xf>
    <xf numFmtId="0" fontId="24" fillId="2" borderId="16" xfId="0" applyNumberFormat="1" applyFont="1" applyFill="1" applyBorder="1" applyAlignment="1" applyProtection="1">
      <alignment vertical="center"/>
    </xf>
    <xf numFmtId="0" fontId="25" fillId="2" borderId="16" xfId="0" applyNumberFormat="1" applyFont="1" applyFill="1" applyBorder="1" applyProtection="1"/>
    <xf numFmtId="0" fontId="24" fillId="2" borderId="16" xfId="0" applyNumberFormat="1" applyFont="1" applyFill="1" applyBorder="1" applyAlignment="1" applyProtection="1">
      <alignment horizontal="center"/>
    </xf>
    <xf numFmtId="1" fontId="24" fillId="2" borderId="4" xfId="0" applyNumberFormat="1" applyFont="1" applyFill="1" applyBorder="1" applyAlignment="1" applyProtection="1">
      <alignment horizontal="center" vertical="center"/>
    </xf>
    <xf numFmtId="179" fontId="24" fillId="2" borderId="4" xfId="0" applyNumberFormat="1" applyFont="1" applyFill="1" applyBorder="1" applyAlignment="1" applyProtection="1">
      <alignment horizontal="center" vertical="center"/>
    </xf>
    <xf numFmtId="0" fontId="26" fillId="2" borderId="0" xfId="51" applyNumberFormat="1" applyFont="1" applyFill="1" applyBorder="1" applyAlignment="1" applyProtection="1">
      <protection locked="0"/>
    </xf>
    <xf numFmtId="0" fontId="24" fillId="2" borderId="0" xfId="0" applyNumberFormat="1" applyFont="1" applyFill="1" applyProtection="1">
      <protection locked="0"/>
    </xf>
    <xf numFmtId="0" fontId="25" fillId="2" borderId="0" xfId="0" applyNumberFormat="1" applyFont="1" applyFill="1" applyProtection="1">
      <protection locked="0"/>
    </xf>
    <xf numFmtId="0" fontId="26" fillId="2" borderId="0" xfId="51" applyNumberFormat="1" applyFont="1" applyFill="1" applyAlignment="1" applyProtection="1">
      <protection locked="0"/>
    </xf>
    <xf numFmtId="0" fontId="24" fillId="2" borderId="4" xfId="0" applyNumberFormat="1" applyFont="1" applyFill="1" applyBorder="1" applyProtection="1"/>
    <xf numFmtId="0" fontId="24" fillId="2" borderId="4" xfId="0" applyNumberFormat="1" applyFont="1" applyFill="1" applyBorder="1" applyAlignment="1" applyProtection="1">
      <alignment horizontal="center"/>
    </xf>
    <xf numFmtId="0" fontId="27" fillId="2" borderId="4" xfId="0" applyNumberFormat="1" applyFont="1" applyFill="1" applyBorder="1" applyAlignment="1" applyProtection="1">
      <alignment horizontal="center"/>
      <protection locked="0"/>
    </xf>
    <xf numFmtId="0" fontId="25" fillId="4" borderId="4" xfId="0" applyNumberFormat="1" applyFont="1" applyFill="1" applyBorder="1" applyAlignment="1" applyProtection="1">
      <alignment horizontal="center"/>
      <protection locked="0"/>
    </xf>
    <xf numFmtId="0" fontId="24" fillId="4" borderId="4" xfId="0" applyNumberFormat="1" applyFont="1" applyFill="1" applyBorder="1" applyAlignment="1" applyProtection="1">
      <alignment horizontal="center"/>
    </xf>
    <xf numFmtId="0" fontId="25" fillId="2" borderId="17" xfId="0" applyNumberFormat="1" applyFont="1" applyFill="1" applyBorder="1" applyAlignment="1" applyProtection="1">
      <alignment horizontal="left"/>
      <protection locked="0"/>
    </xf>
    <xf numFmtId="0" fontId="25" fillId="4" borderId="4" xfId="0" applyNumberFormat="1" applyFont="1" applyFill="1" applyBorder="1" applyAlignment="1" applyProtection="1">
      <alignment horizontal="center"/>
    </xf>
    <xf numFmtId="0" fontId="24" fillId="2" borderId="4" xfId="0" applyNumberFormat="1" applyFont="1" applyFill="1" applyBorder="1" applyAlignment="1" applyProtection="1">
      <alignment horizontal="center"/>
      <protection locked="0"/>
    </xf>
    <xf numFmtId="0" fontId="24" fillId="2" borderId="17" xfId="0" applyNumberFormat="1" applyFont="1" applyFill="1" applyBorder="1" applyAlignment="1" applyProtection="1">
      <alignment horizontal="left"/>
      <protection locked="0"/>
    </xf>
    <xf numFmtId="0" fontId="25" fillId="2" borderId="17" xfId="0" applyNumberFormat="1" applyFont="1" applyFill="1" applyBorder="1" applyProtection="1">
      <protection locked="0"/>
    </xf>
    <xf numFmtId="0" fontId="25" fillId="2" borderId="4" xfId="0" applyNumberFormat="1" applyFont="1" applyFill="1" applyBorder="1" applyProtection="1"/>
    <xf numFmtId="0" fontId="25" fillId="2" borderId="4" xfId="0" applyNumberFormat="1" applyFont="1" applyFill="1" applyBorder="1" applyAlignment="1" applyProtection="1">
      <alignment horizontal="center"/>
    </xf>
    <xf numFmtId="0" fontId="24" fillId="2" borderId="4" xfId="0" applyNumberFormat="1" applyFont="1" applyFill="1" applyBorder="1" applyProtection="1">
      <protection locked="0"/>
    </xf>
    <xf numFmtId="0" fontId="25" fillId="2" borderId="4" xfId="0" applyNumberFormat="1" applyFont="1" applyFill="1" applyBorder="1" applyProtection="1">
      <protection locked="0"/>
    </xf>
    <xf numFmtId="0" fontId="25" fillId="2" borderId="0" xfId="0" applyNumberFormat="1" applyFont="1" applyFill="1" applyBorder="1" applyProtection="1">
      <protection locked="0"/>
    </xf>
    <xf numFmtId="179" fontId="25" fillId="2" borderId="4" xfId="0" applyNumberFormat="1" applyFont="1" applyFill="1" applyBorder="1" applyAlignment="1" applyProtection="1">
      <alignment horizontal="center"/>
      <protection locked="0"/>
    </xf>
    <xf numFmtId="179" fontId="24" fillId="2" borderId="4" xfId="0" applyNumberFormat="1" applyFont="1" applyFill="1" applyBorder="1" applyAlignment="1" applyProtection="1">
      <alignment horizontal="center"/>
    </xf>
    <xf numFmtId="0" fontId="25" fillId="0" borderId="0" xfId="0" applyFont="1"/>
    <xf numFmtId="0" fontId="24" fillId="2" borderId="15" xfId="0" applyNumberFormat="1" applyFont="1" applyFill="1" applyBorder="1" applyProtection="1"/>
    <xf numFmtId="0" fontId="25" fillId="2" borderId="15" xfId="0" applyNumberFormat="1" applyFont="1" applyFill="1" applyBorder="1" applyProtection="1"/>
    <xf numFmtId="179" fontId="25" fillId="2" borderId="15" xfId="0" applyNumberFormat="1" applyFont="1" applyFill="1" applyBorder="1" applyProtection="1"/>
    <xf numFmtId="0" fontId="19" fillId="0" borderId="0" xfId="0" applyFont="1"/>
    <xf numFmtId="0" fontId="0" fillId="0" borderId="0" xfId="0" applyFill="1"/>
    <xf numFmtId="0" fontId="14" fillId="0" borderId="0" xfId="0" applyFont="1" applyFill="1" applyAlignment="1">
      <alignment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Alignment="1"/>
    <xf numFmtId="0" fontId="28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wrapText="1"/>
    </xf>
    <xf numFmtId="2" fontId="2" fillId="0" borderId="18" xfId="0" applyNumberFormat="1" applyFont="1" applyBorder="1" applyAlignment="1">
      <alignment horizontal="right" wrapText="1"/>
    </xf>
    <xf numFmtId="1" fontId="2" fillId="0" borderId="4" xfId="0" applyNumberFormat="1" applyFont="1" applyFill="1" applyBorder="1" applyAlignment="1">
      <alignment wrapText="1"/>
    </xf>
    <xf numFmtId="0" fontId="2" fillId="0" borderId="18" xfId="0" applyNumberFormat="1" applyFont="1" applyBorder="1" applyAlignment="1">
      <alignment horizontal="right" wrapText="1"/>
    </xf>
    <xf numFmtId="179" fontId="2" fillId="0" borderId="0" xfId="0" applyNumberFormat="1" applyFont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179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right" wrapText="1"/>
    </xf>
    <xf numFmtId="2" fontId="28" fillId="0" borderId="4" xfId="0" applyNumberFormat="1" applyFont="1" applyFill="1" applyBorder="1" applyAlignment="1">
      <alignment wrapText="1"/>
    </xf>
    <xf numFmtId="0" fontId="14" fillId="0" borderId="4" xfId="0" applyFont="1" applyFill="1" applyBorder="1" applyAlignment="1"/>
    <xf numFmtId="0" fontId="28" fillId="0" borderId="4" xfId="0" applyFont="1" applyFill="1" applyBorder="1" applyAlignment="1">
      <alignment horizontal="center"/>
    </xf>
    <xf numFmtId="0" fontId="14" fillId="0" borderId="0" xfId="0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28" fillId="0" borderId="0" xfId="0" applyFont="1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Fill="1" applyAlignment="1"/>
    <xf numFmtId="0" fontId="28" fillId="0" borderId="0" xfId="0" applyFont="1" applyFill="1" applyAlignment="1">
      <alignment horizontal="center" wrapText="1"/>
    </xf>
    <xf numFmtId="0" fontId="29" fillId="0" borderId="0" xfId="0" applyFont="1"/>
    <xf numFmtId="0" fontId="28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2" fontId="14" fillId="0" borderId="4" xfId="0" applyNumberFormat="1" applyFont="1" applyFill="1" applyBorder="1" applyAlignment="1">
      <alignment wrapText="1"/>
    </xf>
    <xf numFmtId="1" fontId="14" fillId="0" borderId="4" xfId="0" applyNumberFormat="1" applyFont="1" applyFill="1" applyBorder="1" applyAlignment="1">
      <alignment wrapText="1"/>
    </xf>
    <xf numFmtId="2" fontId="14" fillId="2" borderId="4" xfId="0" applyNumberFormat="1" applyFont="1" applyFill="1" applyBorder="1" applyAlignment="1">
      <alignment wrapText="1"/>
    </xf>
    <xf numFmtId="0" fontId="28" fillId="0" borderId="4" xfId="0" applyNumberFormat="1" applyFont="1" applyFill="1" applyBorder="1" applyAlignment="1"/>
    <xf numFmtId="0" fontId="1" fillId="0" borderId="0" xfId="0" applyFont="1" applyFill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179" fontId="13" fillId="0" borderId="4" xfId="0" applyNumberFormat="1" applyFont="1" applyFill="1" applyBorder="1" applyAlignment="1">
      <alignment wrapText="1"/>
    </xf>
    <xf numFmtId="0" fontId="1" fillId="0" borderId="0" xfId="0" applyFont="1" applyAlignment="1" applyProtection="1">
      <protection locked="0"/>
    </xf>
    <xf numFmtId="179" fontId="2" fillId="0" borderId="4" xfId="0" applyNumberFormat="1" applyFont="1" applyBorder="1" applyAlignment="1">
      <alignment horizontal="right" wrapText="1"/>
    </xf>
    <xf numFmtId="0" fontId="28" fillId="4" borderId="4" xfId="0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79" fontId="2" fillId="0" borderId="4" xfId="0" applyNumberFormat="1" applyFont="1" applyFill="1" applyBorder="1" applyAlignment="1">
      <alignment horizontal="right" wrapText="1"/>
    </xf>
    <xf numFmtId="0" fontId="28" fillId="0" borderId="1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180" fontId="28" fillId="0" borderId="4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2" fontId="28" fillId="0" borderId="4" xfId="0" applyNumberFormat="1" applyFont="1" applyFill="1" applyBorder="1" applyAlignment="1"/>
    <xf numFmtId="0" fontId="3" fillId="0" borderId="0" xfId="0" applyFont="1" applyFill="1" applyBorder="1"/>
    <xf numFmtId="0" fontId="31" fillId="0" borderId="0" xfId="0" applyFont="1" applyFill="1"/>
    <xf numFmtId="0" fontId="3" fillId="2" borderId="0" xfId="0" applyFont="1" applyFill="1" applyBorder="1"/>
    <xf numFmtId="0" fontId="9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 applyProtection="1">
      <alignment wrapText="1"/>
    </xf>
    <xf numFmtId="0" fontId="9" fillId="0" borderId="0" xfId="53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53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wrapText="1"/>
    </xf>
    <xf numFmtId="0" fontId="32" fillId="0" borderId="4" xfId="0" applyFont="1" applyFill="1" applyBorder="1" applyAlignment="1" applyProtection="1">
      <alignment horizontal="center" wrapText="1"/>
    </xf>
    <xf numFmtId="2" fontId="9" fillId="0" borderId="4" xfId="0" applyNumberFormat="1" applyFont="1" applyFill="1" applyBorder="1" applyAlignment="1" applyProtection="1">
      <alignment wrapText="1"/>
    </xf>
    <xf numFmtId="0" fontId="32" fillId="0" borderId="4" xfId="0" applyFont="1" applyFill="1" applyBorder="1" applyAlignment="1" applyProtection="1">
      <alignment wrapText="1"/>
    </xf>
    <xf numFmtId="0" fontId="9" fillId="0" borderId="1" xfId="53" applyFont="1" applyFill="1" applyBorder="1" applyAlignment="1" applyProtection="1">
      <alignment horizontal="center" vertical="center" wrapText="1"/>
    </xf>
    <xf numFmtId="0" fontId="9" fillId="0" borderId="6" xfId="53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wrapText="1"/>
    </xf>
    <xf numFmtId="0" fontId="33" fillId="0" borderId="0" xfId="0" applyFont="1" applyFill="1" applyBorder="1"/>
    <xf numFmtId="0" fontId="9" fillId="2" borderId="2" xfId="53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left" wrapText="1"/>
    </xf>
    <xf numFmtId="179" fontId="5" fillId="2" borderId="4" xfId="0" applyNumberFormat="1" applyFont="1" applyFill="1" applyBorder="1" applyAlignment="1" applyProtection="1">
      <alignment horizontal="right" wrapText="1"/>
    </xf>
    <xf numFmtId="2" fontId="5" fillId="2" borderId="4" xfId="0" applyNumberFormat="1" applyFont="1" applyFill="1" applyBorder="1" applyAlignment="1" applyProtection="1">
      <alignment wrapText="1"/>
    </xf>
    <xf numFmtId="0" fontId="12" fillId="0" borderId="0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6" fillId="7" borderId="4" xfId="0" applyNumberFormat="1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center" wrapText="1"/>
    </xf>
    <xf numFmtId="1" fontId="5" fillId="2" borderId="4" xfId="0" applyNumberFormat="1" applyFont="1" applyFill="1" applyBorder="1" applyAlignment="1" applyProtection="1">
      <alignment wrapText="1"/>
    </xf>
    <xf numFmtId="0" fontId="9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9" fillId="0" borderId="0" xfId="0" applyFont="1" applyFill="1"/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" fontId="9" fillId="0" borderId="4" xfId="53" applyNumberFormat="1" applyFont="1" applyFill="1" applyBorder="1" applyAlignment="1" applyProtection="1">
      <alignment wrapText="1"/>
    </xf>
    <xf numFmtId="0" fontId="34" fillId="0" borderId="4" xfId="53" applyFont="1" applyFill="1" applyBorder="1" applyAlignment="1" applyProtection="1">
      <alignment wrapText="1"/>
    </xf>
    <xf numFmtId="0" fontId="34" fillId="0" borderId="4" xfId="0" applyFont="1" applyFill="1" applyBorder="1" applyProtection="1"/>
    <xf numFmtId="179" fontId="5" fillId="0" borderId="6" xfId="0" applyNumberFormat="1" applyFont="1" applyFill="1" applyBorder="1" applyAlignment="1" applyProtection="1">
      <alignment wrapText="1"/>
    </xf>
    <xf numFmtId="0" fontId="9" fillId="0" borderId="6" xfId="0" applyFont="1" applyFill="1" applyBorder="1" applyAlignment="1" applyProtection="1">
      <alignment wrapText="1"/>
    </xf>
    <xf numFmtId="1" fontId="9" fillId="0" borderId="4" xfId="0" applyNumberFormat="1" applyFont="1" applyFill="1" applyBorder="1" applyAlignment="1" applyProtection="1">
      <alignment wrapText="1"/>
    </xf>
    <xf numFmtId="1" fontId="5" fillId="0" borderId="4" xfId="0" applyNumberFormat="1" applyFont="1" applyFill="1" applyBorder="1" applyAlignment="1" applyProtection="1">
      <alignment wrapText="1"/>
    </xf>
    <xf numFmtId="0" fontId="34" fillId="0" borderId="1" xfId="0" applyFont="1" applyFill="1" applyBorder="1" applyProtection="1"/>
    <xf numFmtId="2" fontId="9" fillId="2" borderId="4" xfId="0" applyNumberFormat="1" applyFont="1" applyFill="1" applyBorder="1" applyAlignment="1" applyProtection="1">
      <alignment wrapText="1"/>
    </xf>
    <xf numFmtId="179" fontId="34" fillId="0" borderId="4" xfId="0" applyNumberFormat="1" applyFont="1" applyFill="1" applyBorder="1" applyProtection="1"/>
    <xf numFmtId="1" fontId="34" fillId="0" borderId="4" xfId="0" applyNumberFormat="1" applyFont="1" applyFill="1" applyBorder="1" applyProtection="1"/>
    <xf numFmtId="179" fontId="9" fillId="0" borderId="4" xfId="0" applyNumberFormat="1" applyFont="1" applyFill="1" applyBorder="1" applyProtection="1"/>
    <xf numFmtId="1" fontId="9" fillId="2" borderId="4" xfId="0" applyNumberFormat="1" applyFont="1" applyFill="1" applyBorder="1" applyAlignment="1" applyProtection="1">
      <alignment wrapText="1"/>
    </xf>
    <xf numFmtId="0" fontId="34" fillId="2" borderId="4" xfId="0" applyFont="1" applyFill="1" applyBorder="1" applyProtection="1"/>
    <xf numFmtId="0" fontId="9" fillId="2" borderId="4" xfId="0" applyFont="1" applyFill="1" applyBorder="1" applyProtection="1"/>
    <xf numFmtId="0" fontId="9" fillId="2" borderId="6" xfId="0" applyFont="1" applyFill="1" applyBorder="1" applyAlignment="1" applyProtection="1">
      <alignment wrapText="1"/>
    </xf>
    <xf numFmtId="0" fontId="34" fillId="0" borderId="4" xfId="0" applyFont="1" applyFill="1" applyBorder="1"/>
    <xf numFmtId="1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5" fillId="0" borderId="0" xfId="0" applyFont="1" applyFill="1"/>
    <xf numFmtId="9" fontId="5" fillId="0" borderId="2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2" fontId="9" fillId="0" borderId="6" xfId="0" applyNumberFormat="1" applyFont="1" applyFill="1" applyBorder="1" applyAlignment="1" applyProtection="1">
      <alignment wrapText="1"/>
    </xf>
    <xf numFmtId="0" fontId="9" fillId="0" borderId="6" xfId="0" applyFont="1" applyFill="1" applyBorder="1" applyProtection="1"/>
    <xf numFmtId="2" fontId="9" fillId="2" borderId="6" xfId="0" applyNumberFormat="1" applyFont="1" applyFill="1" applyBorder="1" applyAlignment="1" applyProtection="1">
      <alignment wrapText="1"/>
    </xf>
    <xf numFmtId="0" fontId="9" fillId="2" borderId="6" xfId="0" applyFont="1" applyFill="1" applyBorder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right" wrapText="1"/>
    </xf>
    <xf numFmtId="0" fontId="12" fillId="0" borderId="0" xfId="0" applyFont="1" applyFill="1"/>
    <xf numFmtId="179" fontId="6" fillId="0" borderId="4" xfId="0" applyNumberFormat="1" applyFont="1" applyFill="1" applyBorder="1" applyAlignment="1" applyProtection="1">
      <alignment wrapText="1"/>
    </xf>
    <xf numFmtId="0" fontId="5" fillId="0" borderId="4" xfId="53" applyFont="1" applyFill="1" applyBorder="1" applyAlignment="1" applyProtection="1">
      <alignment wrapText="1"/>
    </xf>
    <xf numFmtId="0" fontId="5" fillId="0" borderId="1" xfId="0" applyFont="1" applyFill="1" applyBorder="1" applyProtection="1"/>
    <xf numFmtId="179" fontId="5" fillId="0" borderId="4" xfId="0" applyNumberFormat="1" applyFont="1" applyFill="1" applyBorder="1" applyProtection="1"/>
    <xf numFmtId="1" fontId="5" fillId="0" borderId="4" xfId="0" applyNumberFormat="1" applyFont="1" applyFill="1" applyBorder="1" applyProtection="1"/>
    <xf numFmtId="0" fontId="5" fillId="2" borderId="4" xfId="0" applyFont="1" applyFill="1" applyBorder="1" applyProtection="1"/>
    <xf numFmtId="0" fontId="5" fillId="0" borderId="4" xfId="0" applyFont="1" applyFill="1" applyBorder="1"/>
    <xf numFmtId="0" fontId="5" fillId="0" borderId="2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wrapText="1"/>
    </xf>
    <xf numFmtId="0" fontId="9" fillId="4" borderId="4" xfId="0" applyFont="1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wrapText="1"/>
    </xf>
    <xf numFmtId="2" fontId="5" fillId="0" borderId="6" xfId="0" applyNumberFormat="1" applyFont="1" applyFill="1" applyBorder="1" applyAlignment="1" applyProtection="1">
      <alignment wrapText="1"/>
    </xf>
    <xf numFmtId="1" fontId="5" fillId="0" borderId="6" xfId="0" applyNumberFormat="1" applyFont="1" applyFill="1" applyBorder="1" applyAlignment="1" applyProtection="1">
      <alignment wrapText="1"/>
    </xf>
    <xf numFmtId="1" fontId="9" fillId="0" borderId="6" xfId="0" applyNumberFormat="1" applyFont="1" applyFill="1" applyBorder="1" applyAlignment="1" applyProtection="1">
      <alignment wrapText="1"/>
    </xf>
    <xf numFmtId="179" fontId="9" fillId="0" borderId="4" xfId="0" applyNumberFormat="1" applyFont="1" applyFill="1" applyBorder="1"/>
    <xf numFmtId="0" fontId="9" fillId="2" borderId="4" xfId="0" applyFont="1" applyFill="1" applyBorder="1"/>
    <xf numFmtId="179" fontId="9" fillId="0" borderId="6" xfId="0" applyNumberFormat="1" applyFont="1" applyFill="1" applyBorder="1" applyAlignment="1" applyProtection="1">
      <alignment wrapText="1"/>
    </xf>
    <xf numFmtId="0" fontId="9" fillId="0" borderId="6" xfId="0" applyNumberFormat="1" applyFont="1" applyFill="1" applyBorder="1" applyAlignment="1" applyProtection="1">
      <alignment wrapText="1"/>
    </xf>
    <xf numFmtId="0" fontId="9" fillId="0" borderId="4" xfId="53" applyFont="1" applyFill="1" applyBorder="1" applyAlignment="1" applyProtection="1">
      <alignment wrapText="1"/>
    </xf>
    <xf numFmtId="2" fontId="9" fillId="0" borderId="4" xfId="0" applyNumberFormat="1" applyFont="1" applyFill="1" applyBorder="1" applyProtection="1"/>
    <xf numFmtId="180" fontId="9" fillId="0" borderId="6" xfId="0" applyNumberFormat="1" applyFont="1" applyFill="1" applyBorder="1" applyAlignment="1" applyProtection="1">
      <alignment wrapText="1"/>
    </xf>
    <xf numFmtId="179" fontId="9" fillId="0" borderId="4" xfId="0" applyNumberFormat="1" applyFont="1" applyFill="1" applyBorder="1" applyAlignment="1" applyProtection="1">
      <alignment wrapText="1"/>
    </xf>
    <xf numFmtId="0" fontId="9" fillId="2" borderId="6" xfId="0" applyNumberFormat="1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58" fontId="5" fillId="0" borderId="4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wrapText="1"/>
    </xf>
    <xf numFmtId="0" fontId="9" fillId="0" borderId="6" xfId="53" applyFont="1" applyFill="1" applyBorder="1" applyAlignment="1" applyProtection="1">
      <alignment wrapText="1"/>
    </xf>
    <xf numFmtId="0" fontId="9" fillId="2" borderId="6" xfId="53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</cellXfs>
  <cellStyles count="55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_Книга1" xfId="42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Обычный_Берсуат Ал 01,01,2009" xfId="51"/>
    <cellStyle name="60% — Акцент6" xfId="52" builtinId="52"/>
    <cellStyle name="Обычный_нш 149 январь2009" xfId="53"/>
    <cellStyle name="Финансовый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K67"/>
  <sheetViews>
    <sheetView view="pageBreakPreview" zoomScale="60" zoomScaleNormal="80" workbookViewId="0">
      <pane xSplit="11" ySplit="11" topLeftCell="L21" activePane="bottomRight" state="frozen"/>
      <selection/>
      <selection pane="topRight"/>
      <selection pane="bottomLeft"/>
      <selection pane="bottomRight" activeCell="N21" sqref="N21"/>
    </sheetView>
  </sheetViews>
  <sheetFormatPr defaultColWidth="9.14285714285714" defaultRowHeight="15"/>
  <cols>
    <col min="1" max="1" width="7.28571428571429" style="77" customWidth="1"/>
    <col min="2" max="2" width="38" style="77" customWidth="1"/>
    <col min="3" max="3" width="21.7142857142857" style="77" customWidth="1"/>
    <col min="4" max="4" width="15" style="77" customWidth="1"/>
    <col min="5" max="5" width="9.85714285714286" style="77" customWidth="1"/>
    <col min="6" max="6" width="13.4285714285714" style="77" customWidth="1"/>
    <col min="7" max="7" width="15.1428571428571" style="77" customWidth="1"/>
    <col min="8" max="8" width="13.2857142857143" style="77" customWidth="1"/>
    <col min="9" max="9" width="21.2857142857143" style="77" customWidth="1"/>
    <col min="10" max="10" width="17.2857142857143" style="77" customWidth="1"/>
    <col min="11" max="11" width="17.5714285714286" style="77" customWidth="1"/>
    <col min="12" max="12" width="16.7142857142857" style="77" customWidth="1"/>
    <col min="13" max="13" width="17.2857142857143" style="77" customWidth="1"/>
    <col min="14" max="14" width="16.1428571428571" style="77" customWidth="1"/>
    <col min="15" max="15" width="15.1428571428571" style="77" customWidth="1"/>
    <col min="16" max="16" width="17.2857142857143" style="77" customWidth="1"/>
    <col min="17" max="17" width="24" style="77" customWidth="1"/>
    <col min="18" max="18" width="22.4285714285714" style="77" customWidth="1"/>
    <col min="19" max="20" width="15.2857142857143" style="77" customWidth="1"/>
    <col min="21" max="21" width="14.7142857142857" style="77" customWidth="1"/>
    <col min="22" max="22" width="11.2857142857143" style="77" customWidth="1"/>
    <col min="23" max="24" width="16.4285714285714" style="77" customWidth="1"/>
    <col min="25" max="25" width="11.5714285714286" style="77" customWidth="1"/>
    <col min="26" max="26" width="14.5714285714286" style="77" customWidth="1"/>
    <col min="27" max="27" width="10.4285714285714" style="77" customWidth="1"/>
    <col min="28" max="28" width="14.8571428571429" style="77" customWidth="1"/>
    <col min="29" max="29" width="11.5714285714286" style="77" customWidth="1"/>
    <col min="30" max="30" width="13.1428571428571" style="77" customWidth="1"/>
    <col min="31" max="31" width="12.8571428571429" style="77" customWidth="1"/>
    <col min="32" max="32" width="14.4285714285714" style="77" customWidth="1"/>
    <col min="33" max="33" width="15.2857142857143" style="77" customWidth="1"/>
    <col min="34" max="36" width="14.4285714285714" style="77" customWidth="1"/>
    <col min="37" max="37" width="21.2857142857143" style="77" customWidth="1"/>
    <col min="38" max="38" width="15.2857142857143" style="77" customWidth="1"/>
    <col min="39" max="39" width="17" style="77" customWidth="1"/>
    <col min="40" max="40" width="15" style="77" customWidth="1"/>
    <col min="41" max="41" width="9.57142857142857" style="77" customWidth="1"/>
    <col min="42" max="42" width="15" style="77" customWidth="1"/>
    <col min="43" max="43" width="11.4285714285714" style="77" customWidth="1"/>
    <col min="44" max="44" width="20" style="77" customWidth="1"/>
    <col min="45" max="45" width="13.2857142857143" style="77" customWidth="1"/>
    <col min="46" max="46" width="20.7142857142857" style="77" customWidth="1"/>
    <col min="47" max="47" width="10.7142857142857" style="77" customWidth="1"/>
    <col min="48" max="48" width="22" style="77" customWidth="1"/>
    <col min="49" max="49" width="9.42857142857143" style="77" customWidth="1"/>
    <col min="50" max="50" width="15.1428571428571" style="77" customWidth="1"/>
    <col min="51" max="51" width="11.4285714285714" style="77" customWidth="1"/>
    <col min="52" max="52" width="16.7142857142857" style="77" customWidth="1"/>
    <col min="53" max="53" width="9.71428571428571" style="77" customWidth="1"/>
    <col min="54" max="54" width="12.8571428571429" style="77" customWidth="1"/>
    <col min="55" max="55" width="9.14285714285714" style="77" customWidth="1"/>
    <col min="56" max="56" width="13.1428571428571" style="77" customWidth="1"/>
    <col min="57" max="57" width="19" style="77" customWidth="1"/>
    <col min="58" max="58" width="17" style="77" customWidth="1"/>
    <col min="59" max="59" width="18.5714285714286" style="77" customWidth="1"/>
    <col min="60" max="60" width="26.2857142857143" style="77" customWidth="1"/>
    <col min="61" max="61" width="13.2857142857143" style="77" customWidth="1"/>
    <col min="62" max="62" width="23.5714285714286" style="77" customWidth="1"/>
    <col min="63" max="16384" width="9.14285714285714" style="77"/>
  </cols>
  <sheetData>
    <row r="1" ht="18.75" spans="1:62">
      <c r="A1" s="348"/>
      <c r="B1" s="349" t="s">
        <v>0</v>
      </c>
      <c r="C1" s="349"/>
      <c r="D1" s="349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81"/>
      <c r="W1" s="348"/>
      <c r="X1" s="348"/>
      <c r="Y1" s="348"/>
      <c r="Z1" s="348"/>
      <c r="AA1" s="348"/>
      <c r="AB1" s="348"/>
      <c r="AC1" s="348"/>
      <c r="AD1" s="381"/>
      <c r="AE1" s="348"/>
      <c r="AF1" s="348"/>
      <c r="AG1" s="348"/>
      <c r="AH1" s="348"/>
      <c r="AI1" s="348"/>
      <c r="AJ1" s="348"/>
      <c r="AK1" s="348"/>
      <c r="AL1" s="348"/>
      <c r="AM1" s="381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91"/>
      <c r="BJ1" s="391"/>
    </row>
    <row r="2" ht="27.75" customHeight="1" spans="1:62">
      <c r="A2" s="348"/>
      <c r="B2" s="349" t="s">
        <v>1</v>
      </c>
      <c r="C2" s="349"/>
      <c r="D2" s="349"/>
      <c r="E2" s="350"/>
      <c r="F2" s="350"/>
      <c r="G2" s="350"/>
      <c r="H2" s="350"/>
      <c r="I2" s="350"/>
      <c r="J2" s="350"/>
      <c r="K2" s="350"/>
      <c r="L2" s="350"/>
      <c r="M2" s="348"/>
      <c r="N2" s="348"/>
      <c r="O2" s="348"/>
      <c r="P2" s="348"/>
      <c r="Q2" s="348"/>
      <c r="R2" s="348"/>
      <c r="S2" s="348"/>
      <c r="T2" s="348"/>
      <c r="U2" s="348"/>
      <c r="V2" s="381"/>
      <c r="W2" s="348" t="e">
        <f>(#REF!*#REF!)/100</f>
        <v>#REF!</v>
      </c>
      <c r="X2" s="348"/>
      <c r="Y2" s="348"/>
      <c r="Z2" s="348"/>
      <c r="AA2" s="348"/>
      <c r="AB2" s="348"/>
      <c r="AC2" s="348"/>
      <c r="AD2" s="381"/>
      <c r="AE2" s="348"/>
      <c r="AF2" s="348"/>
      <c r="AG2" s="348"/>
      <c r="AH2" s="348"/>
      <c r="AI2" s="348"/>
      <c r="AJ2" s="348"/>
      <c r="AK2" s="348"/>
      <c r="AL2" s="348"/>
      <c r="AM2" s="381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91"/>
      <c r="BJ2" s="391"/>
    </row>
    <row r="3" ht="18.75" spans="1:62">
      <c r="A3" s="348"/>
      <c r="B3" s="349" t="s">
        <v>2</v>
      </c>
      <c r="C3" s="349"/>
      <c r="D3" s="349"/>
      <c r="E3" s="351"/>
      <c r="F3" s="351"/>
      <c r="G3" s="348"/>
      <c r="H3" s="348"/>
      <c r="I3" s="348"/>
      <c r="J3" s="348"/>
      <c r="K3" s="392" t="s">
        <v>3</v>
      </c>
      <c r="L3" s="392"/>
      <c r="M3" s="392"/>
      <c r="N3" s="392"/>
      <c r="O3" s="392"/>
      <c r="P3" s="392"/>
      <c r="Q3" s="392"/>
      <c r="R3" s="392"/>
      <c r="S3" s="392"/>
      <c r="T3" s="392"/>
      <c r="U3" s="348"/>
      <c r="V3" s="381"/>
      <c r="W3" s="348"/>
      <c r="X3" s="348"/>
      <c r="Y3" s="348"/>
      <c r="Z3" s="348"/>
      <c r="AA3" s="348"/>
      <c r="AB3" s="348"/>
      <c r="AC3" s="348"/>
      <c r="AD3" s="381"/>
      <c r="AE3" s="348"/>
      <c r="AF3" s="348"/>
      <c r="AG3" s="348"/>
      <c r="AH3" s="348"/>
      <c r="AI3" s="348"/>
      <c r="AJ3" s="348"/>
      <c r="AK3" s="348"/>
      <c r="AL3" s="348"/>
      <c r="AM3" s="381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91"/>
      <c r="BJ3" s="391"/>
    </row>
    <row r="4" ht="18.75" spans="1:62">
      <c r="A4" s="352"/>
      <c r="B4" s="352"/>
      <c r="C4" s="352"/>
      <c r="D4" s="352"/>
      <c r="E4" s="352"/>
      <c r="F4" s="352"/>
      <c r="G4" s="352" t="s">
        <v>4</v>
      </c>
      <c r="H4" s="353">
        <v>17697</v>
      </c>
      <c r="I4" s="352"/>
      <c r="J4" s="352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91"/>
      <c r="BJ4" s="391"/>
    </row>
    <row r="5" customHeight="1" spans="1:62">
      <c r="A5" s="354" t="s">
        <v>5</v>
      </c>
      <c r="B5" s="355" t="s">
        <v>6</v>
      </c>
      <c r="C5" s="355" t="s">
        <v>7</v>
      </c>
      <c r="D5" s="355" t="s">
        <v>8</v>
      </c>
      <c r="E5" s="355" t="s">
        <v>9</v>
      </c>
      <c r="F5" s="355"/>
      <c r="G5" s="355"/>
      <c r="H5" s="355"/>
      <c r="I5" s="355" t="s">
        <v>10</v>
      </c>
      <c r="J5" s="355"/>
      <c r="K5" s="355"/>
      <c r="L5" s="355"/>
      <c r="M5" s="355"/>
      <c r="N5" s="355"/>
      <c r="O5" s="355"/>
      <c r="P5" s="355" t="s">
        <v>11</v>
      </c>
      <c r="Q5" s="355"/>
      <c r="R5" s="355"/>
      <c r="S5" s="355"/>
      <c r="T5" s="355"/>
      <c r="U5" s="355"/>
      <c r="V5" s="439" t="s">
        <v>12</v>
      </c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6"/>
      <c r="BG5" s="355" t="s">
        <v>13</v>
      </c>
      <c r="BH5" s="355" t="s">
        <v>14</v>
      </c>
      <c r="BI5" s="427" t="s">
        <v>15</v>
      </c>
      <c r="BJ5" s="427"/>
    </row>
    <row r="6" ht="97.5" customHeight="1" spans="1:62">
      <c r="A6" s="356"/>
      <c r="B6" s="355"/>
      <c r="C6" s="355"/>
      <c r="D6" s="355"/>
      <c r="E6" s="355" t="s">
        <v>16</v>
      </c>
      <c r="F6" s="355" t="s">
        <v>17</v>
      </c>
      <c r="G6" s="355" t="s">
        <v>18</v>
      </c>
      <c r="H6" s="355" t="s">
        <v>19</v>
      </c>
      <c r="I6" s="355" t="s">
        <v>20</v>
      </c>
      <c r="J6" s="355" t="s">
        <v>21</v>
      </c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94" t="s">
        <v>22</v>
      </c>
      <c r="W6" s="396"/>
      <c r="X6" s="428" t="s">
        <v>23</v>
      </c>
      <c r="Y6" s="355" t="s">
        <v>24</v>
      </c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 t="s">
        <v>25</v>
      </c>
      <c r="AN6" s="355"/>
      <c r="AO6" s="355"/>
      <c r="AP6" s="355"/>
      <c r="AQ6" s="355" t="s">
        <v>26</v>
      </c>
      <c r="AR6" s="355"/>
      <c r="AS6" s="394" t="s">
        <v>27</v>
      </c>
      <c r="AT6" s="396"/>
      <c r="AU6" s="455" t="s">
        <v>28</v>
      </c>
      <c r="AV6" s="456"/>
      <c r="AW6" s="455" t="s">
        <v>29</v>
      </c>
      <c r="AX6" s="456"/>
      <c r="AY6" s="355" t="s">
        <v>30</v>
      </c>
      <c r="AZ6" s="355"/>
      <c r="BA6" s="355" t="s">
        <v>31</v>
      </c>
      <c r="BB6" s="355"/>
      <c r="BC6" s="355" t="s">
        <v>32</v>
      </c>
      <c r="BD6" s="355"/>
      <c r="BE6" s="394" t="s">
        <v>33</v>
      </c>
      <c r="BF6" s="355" t="s">
        <v>34</v>
      </c>
      <c r="BG6" s="355"/>
      <c r="BH6" s="355"/>
      <c r="BI6" s="427"/>
      <c r="BJ6" s="427"/>
    </row>
    <row r="7" ht="75" spans="1:62">
      <c r="A7" s="357"/>
      <c r="B7" s="355"/>
      <c r="C7" s="355"/>
      <c r="D7" s="355"/>
      <c r="E7" s="355"/>
      <c r="F7" s="355"/>
      <c r="G7" s="355"/>
      <c r="H7" s="355"/>
      <c r="I7" s="355"/>
      <c r="J7" s="355" t="s">
        <v>35</v>
      </c>
      <c r="K7" s="355" t="s">
        <v>36</v>
      </c>
      <c r="L7" s="355" t="s">
        <v>37</v>
      </c>
      <c r="M7" s="355" t="s">
        <v>38</v>
      </c>
      <c r="N7" s="355" t="s">
        <v>39</v>
      </c>
      <c r="O7" s="355" t="s">
        <v>40</v>
      </c>
      <c r="P7" s="355" t="s">
        <v>35</v>
      </c>
      <c r="Q7" s="355" t="s">
        <v>36</v>
      </c>
      <c r="R7" s="355" t="s">
        <v>37</v>
      </c>
      <c r="S7" s="355" t="s">
        <v>38</v>
      </c>
      <c r="T7" s="355" t="s">
        <v>39</v>
      </c>
      <c r="U7" s="355" t="s">
        <v>41</v>
      </c>
      <c r="V7" s="355" t="s">
        <v>42</v>
      </c>
      <c r="W7" s="420" t="s">
        <v>43</v>
      </c>
      <c r="X7" s="428"/>
      <c r="Y7" s="355" t="s">
        <v>44</v>
      </c>
      <c r="Z7" s="355" t="s">
        <v>45</v>
      </c>
      <c r="AA7" s="355" t="s">
        <v>44</v>
      </c>
      <c r="AB7" s="355" t="s">
        <v>46</v>
      </c>
      <c r="AC7" s="355" t="s">
        <v>44</v>
      </c>
      <c r="AD7" s="355" t="s">
        <v>47</v>
      </c>
      <c r="AE7" s="355" t="s">
        <v>44</v>
      </c>
      <c r="AF7" s="355" t="s">
        <v>37</v>
      </c>
      <c r="AG7" s="355" t="s">
        <v>44</v>
      </c>
      <c r="AH7" s="355" t="s">
        <v>48</v>
      </c>
      <c r="AI7" s="355" t="s">
        <v>44</v>
      </c>
      <c r="AJ7" s="355" t="s">
        <v>39</v>
      </c>
      <c r="AK7" s="355" t="s">
        <v>49</v>
      </c>
      <c r="AL7" s="355" t="s">
        <v>50</v>
      </c>
      <c r="AM7" s="355" t="s">
        <v>51</v>
      </c>
      <c r="AN7" s="355" t="s">
        <v>52</v>
      </c>
      <c r="AO7" s="355" t="s">
        <v>51</v>
      </c>
      <c r="AP7" s="457" t="s">
        <v>53</v>
      </c>
      <c r="AQ7" s="355" t="s">
        <v>51</v>
      </c>
      <c r="AR7" s="355" t="s">
        <v>43</v>
      </c>
      <c r="AS7" s="355" t="s">
        <v>54</v>
      </c>
      <c r="AT7" s="355" t="s">
        <v>43</v>
      </c>
      <c r="AU7" s="355" t="s">
        <v>54</v>
      </c>
      <c r="AV7" s="355" t="s">
        <v>43</v>
      </c>
      <c r="AW7" s="355" t="s">
        <v>54</v>
      </c>
      <c r="AX7" s="355" t="s">
        <v>43</v>
      </c>
      <c r="AY7" s="355" t="s">
        <v>51</v>
      </c>
      <c r="AZ7" s="355" t="s">
        <v>43</v>
      </c>
      <c r="BA7" s="355" t="s">
        <v>55</v>
      </c>
      <c r="BB7" s="355" t="s">
        <v>43</v>
      </c>
      <c r="BC7" s="355" t="s">
        <v>42</v>
      </c>
      <c r="BD7" s="355" t="s">
        <v>43</v>
      </c>
      <c r="BE7" s="355" t="s">
        <v>43</v>
      </c>
      <c r="BF7" s="355"/>
      <c r="BG7" s="355"/>
      <c r="BH7" s="355"/>
      <c r="BI7" s="355" t="s">
        <v>56</v>
      </c>
      <c r="BJ7" s="355" t="s">
        <v>43</v>
      </c>
    </row>
    <row r="8" ht="18.75" spans="1:62">
      <c r="A8" s="358">
        <v>1</v>
      </c>
      <c r="B8" s="358">
        <v>2</v>
      </c>
      <c r="C8" s="358">
        <v>3</v>
      </c>
      <c r="D8" s="358">
        <v>4</v>
      </c>
      <c r="E8" s="358">
        <v>5</v>
      </c>
      <c r="F8" s="358">
        <v>6</v>
      </c>
      <c r="G8" s="358">
        <v>7</v>
      </c>
      <c r="H8" s="358">
        <v>8</v>
      </c>
      <c r="I8" s="358">
        <v>9</v>
      </c>
      <c r="J8" s="358">
        <v>10</v>
      </c>
      <c r="K8" s="358">
        <v>11</v>
      </c>
      <c r="L8" s="358">
        <v>12</v>
      </c>
      <c r="M8" s="358">
        <v>13</v>
      </c>
      <c r="N8" s="358">
        <v>14</v>
      </c>
      <c r="O8" s="358">
        <v>15</v>
      </c>
      <c r="P8" s="358">
        <v>16</v>
      </c>
      <c r="Q8" s="358">
        <v>17</v>
      </c>
      <c r="R8" s="358">
        <v>18</v>
      </c>
      <c r="S8" s="358">
        <v>19</v>
      </c>
      <c r="T8" s="358">
        <v>20</v>
      </c>
      <c r="U8" s="358">
        <v>21</v>
      </c>
      <c r="V8" s="358">
        <v>22</v>
      </c>
      <c r="W8" s="358">
        <v>23</v>
      </c>
      <c r="X8" s="358">
        <v>24</v>
      </c>
      <c r="Y8" s="358">
        <v>25</v>
      </c>
      <c r="Z8" s="358">
        <v>26</v>
      </c>
      <c r="AA8" s="358">
        <v>27</v>
      </c>
      <c r="AB8" s="358">
        <v>28</v>
      </c>
      <c r="AC8" s="358">
        <v>29</v>
      </c>
      <c r="AD8" s="358">
        <v>30</v>
      </c>
      <c r="AE8" s="358">
        <v>31</v>
      </c>
      <c r="AF8" s="358">
        <v>32</v>
      </c>
      <c r="AG8" s="358">
        <v>33</v>
      </c>
      <c r="AH8" s="358">
        <v>34</v>
      </c>
      <c r="AI8" s="358">
        <v>35</v>
      </c>
      <c r="AJ8" s="358">
        <v>36</v>
      </c>
      <c r="AK8" s="358">
        <v>37</v>
      </c>
      <c r="AL8" s="358">
        <v>38</v>
      </c>
      <c r="AM8" s="358">
        <v>39</v>
      </c>
      <c r="AN8" s="358">
        <v>40</v>
      </c>
      <c r="AO8" s="358">
        <v>41</v>
      </c>
      <c r="AP8" s="358">
        <v>42</v>
      </c>
      <c r="AQ8" s="358">
        <v>43</v>
      </c>
      <c r="AR8" s="358">
        <v>44</v>
      </c>
      <c r="AS8" s="358">
        <v>45</v>
      </c>
      <c r="AT8" s="358">
        <v>46</v>
      </c>
      <c r="AU8" s="358">
        <v>47</v>
      </c>
      <c r="AV8" s="358">
        <v>48</v>
      </c>
      <c r="AW8" s="358">
        <v>49</v>
      </c>
      <c r="AX8" s="358">
        <v>50</v>
      </c>
      <c r="AY8" s="358">
        <v>51</v>
      </c>
      <c r="AZ8" s="358">
        <v>52</v>
      </c>
      <c r="BA8" s="358">
        <v>53</v>
      </c>
      <c r="BB8" s="358">
        <v>54</v>
      </c>
      <c r="BC8" s="358">
        <v>55</v>
      </c>
      <c r="BD8" s="358">
        <v>56</v>
      </c>
      <c r="BE8" s="358">
        <v>57</v>
      </c>
      <c r="BF8" s="358">
        <v>58</v>
      </c>
      <c r="BG8" s="358">
        <v>59</v>
      </c>
      <c r="BH8" s="358">
        <v>60</v>
      </c>
      <c r="BI8" s="358">
        <v>61</v>
      </c>
      <c r="BJ8" s="358">
        <v>62</v>
      </c>
    </row>
    <row r="9" ht="40.5" customHeight="1" spans="1:62">
      <c r="A9" s="82">
        <v>1</v>
      </c>
      <c r="B9" s="15" t="s">
        <v>57</v>
      </c>
      <c r="C9" s="15" t="s">
        <v>58</v>
      </c>
      <c r="D9" s="15" t="s">
        <v>59</v>
      </c>
      <c r="E9" s="136" t="s">
        <v>60</v>
      </c>
      <c r="F9" s="137" t="s">
        <v>61</v>
      </c>
      <c r="G9" s="19">
        <v>37.4</v>
      </c>
      <c r="H9" s="20">
        <v>5.41</v>
      </c>
      <c r="I9" s="105">
        <f t="shared" ref="I9:I52" si="0">ROUND((((J9+K9))/24)+(L9+M9+N9)/18,2)</f>
        <v>1.33</v>
      </c>
      <c r="J9" s="397"/>
      <c r="K9" s="397"/>
      <c r="L9" s="433">
        <v>22</v>
      </c>
      <c r="M9" s="153">
        <v>2</v>
      </c>
      <c r="N9" s="154"/>
      <c r="O9" s="400">
        <f>SUM(L9:N9)</f>
        <v>24</v>
      </c>
      <c r="P9" s="401">
        <f>SUM(($H$4*H9)/24)*J9</f>
        <v>0</v>
      </c>
      <c r="Q9" s="421">
        <f>SUM(($H$4*H9)/24)*K9</f>
        <v>0</v>
      </c>
      <c r="R9" s="421">
        <f>($H$4*H9)/18*L9</f>
        <v>117016.496666667</v>
      </c>
      <c r="S9" s="421">
        <f>($H$4*H9)*M9/18</f>
        <v>10637.8633333333</v>
      </c>
      <c r="T9" s="421">
        <f>($H$4*H9)/18*N9</f>
        <v>0</v>
      </c>
      <c r="U9" s="421">
        <f>SUM(P9:T9)</f>
        <v>127654.36</v>
      </c>
      <c r="V9" s="422">
        <v>25</v>
      </c>
      <c r="W9" s="421">
        <f>(U9*V9)/100</f>
        <v>31913.59</v>
      </c>
      <c r="X9" s="421">
        <f>SUM(U9,W9)</f>
        <v>159567.95</v>
      </c>
      <c r="Y9" s="154">
        <v>4</v>
      </c>
      <c r="Z9" s="421">
        <f t="shared" ref="Z9:Z53" si="1">($H$4*0.25)*Y9/18</f>
        <v>983.166666666667</v>
      </c>
      <c r="AA9" s="366"/>
      <c r="AB9" s="401">
        <f t="shared" ref="AB9:AB46" si="2">SUM(($H$4*0.25)/18)*AA9</f>
        <v>0</v>
      </c>
      <c r="AC9" s="366"/>
      <c r="AD9" s="366">
        <f t="shared" ref="AD9:AD14" si="3">SUM(($H$4*0.25)/18*AC9)</f>
        <v>0</v>
      </c>
      <c r="AE9" s="411">
        <v>5</v>
      </c>
      <c r="AF9" s="401">
        <f t="shared" ref="AF9:AF53" si="4">SUM(($H$4*0.2)/18)*AE9</f>
        <v>983.166666666667</v>
      </c>
      <c r="AG9" s="154"/>
      <c r="AH9" s="449">
        <f t="shared" ref="AH9:AH52" si="5">SUM(($H$4*0.2)/18)*AG9</f>
        <v>0</v>
      </c>
      <c r="AI9" s="154"/>
      <c r="AJ9" s="449">
        <f>SUM(($H$4*0.2)/18)*AI9</f>
        <v>0</v>
      </c>
      <c r="AK9" s="412">
        <f>SUM(Y9,AA9,AC9,AE9,AG9,AI9)</f>
        <v>9</v>
      </c>
      <c r="AL9" s="421">
        <f>SUM(Z9,AB9,AD9,AF9,AH9,AJ9)</f>
        <v>1966.33333333333</v>
      </c>
      <c r="AM9" s="450">
        <v>1</v>
      </c>
      <c r="AN9" s="401">
        <f t="shared" ref="AN9:AN52" si="6">SUM($H$4*0.25)*AM9</f>
        <v>4424.25</v>
      </c>
      <c r="AO9" s="366"/>
      <c r="AP9" s="402">
        <f t="shared" ref="AP9:AP47" si="7">SUM($H$4*0.3)*AO9</f>
        <v>0</v>
      </c>
      <c r="AQ9" s="366"/>
      <c r="AR9" s="401">
        <f>SUM($H$4*0.2*AQ9)</f>
        <v>0</v>
      </c>
      <c r="AS9" s="154"/>
      <c r="AT9" s="401">
        <f>SUM($H$4*$H9*AS9/18)</f>
        <v>0</v>
      </c>
      <c r="AU9" s="422"/>
      <c r="AV9" s="401">
        <f>SUM($H$4*$H9*AU9/18)*0.7</f>
        <v>0</v>
      </c>
      <c r="AW9" s="459"/>
      <c r="AX9" s="401">
        <f>SUM($H$4*$H9*AW9/18)*0.3</f>
        <v>0</v>
      </c>
      <c r="AY9" s="154"/>
      <c r="AZ9" s="449">
        <f>SUM(($H$4*0.25)/18)*AY9</f>
        <v>0</v>
      </c>
      <c r="BA9" s="366"/>
      <c r="BB9" s="401">
        <f>SUM($H$4*0.2)*BA9</f>
        <v>0</v>
      </c>
      <c r="BC9" s="366"/>
      <c r="BD9" s="449"/>
      <c r="BE9" s="401">
        <f>SUM(U9*0.1)</f>
        <v>12765.436</v>
      </c>
      <c r="BF9" s="362">
        <f>AL9+AN9+AP9+AT9+AV9+AX9+AZ9+BB9+BD9+BE9+AR9</f>
        <v>19156.0193333333</v>
      </c>
      <c r="BG9" s="421">
        <f>X9+BF9</f>
        <v>178723.969333333</v>
      </c>
      <c r="BH9" s="421">
        <f>BG9*12</f>
        <v>2144687.632</v>
      </c>
      <c r="BI9" s="105">
        <f>SUM(I9)</f>
        <v>1.33</v>
      </c>
      <c r="BJ9" s="430">
        <f>SUM(($H$4*H9)+(($H$4*H9*V9)/100))*BI9</f>
        <v>159169.030125</v>
      </c>
    </row>
    <row r="10" ht="36.75" customHeight="1" spans="1:62">
      <c r="A10" s="82">
        <v>2</v>
      </c>
      <c r="B10" s="15" t="s">
        <v>62</v>
      </c>
      <c r="C10" s="15" t="s">
        <v>63</v>
      </c>
      <c r="D10" s="15" t="s">
        <v>59</v>
      </c>
      <c r="E10" s="136" t="s">
        <v>60</v>
      </c>
      <c r="F10" s="18" t="s">
        <v>61</v>
      </c>
      <c r="G10" s="86">
        <v>33.4</v>
      </c>
      <c r="H10" s="20">
        <v>5.41</v>
      </c>
      <c r="I10" s="105">
        <f t="shared" si="0"/>
        <v>1.56</v>
      </c>
      <c r="J10" s="402"/>
      <c r="K10" s="403"/>
      <c r="L10" s="153">
        <v>10</v>
      </c>
      <c r="M10" s="153">
        <v>15</v>
      </c>
      <c r="N10" s="154">
        <v>3</v>
      </c>
      <c r="O10" s="400">
        <f t="shared" ref="O10:O14" si="8">SUM(L10:N10)</f>
        <v>28</v>
      </c>
      <c r="P10" s="401">
        <f t="shared" ref="P10:P14" si="9">SUM(($H$4*H10)/24)*J10</f>
        <v>0</v>
      </c>
      <c r="Q10" s="421">
        <f t="shared" ref="Q10:Q14" si="10">SUM(($H$4*H10)/24)*K10</f>
        <v>0</v>
      </c>
      <c r="R10" s="421">
        <f t="shared" ref="R10:R14" si="11">($H$4*H10)/18*L10</f>
        <v>53189.3166666667</v>
      </c>
      <c r="S10" s="421">
        <f t="shared" ref="S10:S14" si="12">($H$4*H10)*M10/18</f>
        <v>79783.975</v>
      </c>
      <c r="T10" s="421">
        <f t="shared" ref="T10:T14" si="13">($H$4*H10)/18*N10</f>
        <v>15956.795</v>
      </c>
      <c r="U10" s="421">
        <f t="shared" ref="U10:U47" si="14">SUM(P10:T10)</f>
        <v>148930.086666667</v>
      </c>
      <c r="V10" s="422">
        <v>25</v>
      </c>
      <c r="W10" s="421">
        <f t="shared" ref="W10:W47" si="15">(U10*V10)/100</f>
        <v>37232.5216666667</v>
      </c>
      <c r="X10" s="421">
        <f t="shared" ref="X10:X47" si="16">SUM(U10,W10)</f>
        <v>186162.608333333</v>
      </c>
      <c r="Y10" s="154">
        <v>7</v>
      </c>
      <c r="Z10" s="421">
        <f t="shared" si="1"/>
        <v>1720.54166666667</v>
      </c>
      <c r="AA10" s="366">
        <v>7.5</v>
      </c>
      <c r="AB10" s="401">
        <f t="shared" si="2"/>
        <v>1843.4375</v>
      </c>
      <c r="AC10" s="366">
        <v>0.5</v>
      </c>
      <c r="AD10" s="366">
        <f t="shared" si="3"/>
        <v>122.895833333333</v>
      </c>
      <c r="AE10" s="408"/>
      <c r="AF10" s="401">
        <f t="shared" si="4"/>
        <v>0</v>
      </c>
      <c r="AG10" s="154"/>
      <c r="AH10" s="449">
        <f t="shared" si="5"/>
        <v>0</v>
      </c>
      <c r="AI10" s="154"/>
      <c r="AJ10" s="421">
        <f t="shared" ref="AJ10:AJ47" si="17">SUM(($H$4*0.2)/18)*AI10</f>
        <v>0</v>
      </c>
      <c r="AK10" s="412">
        <f t="shared" ref="AK10:AK47" si="18">SUM(Y10,AA10,AC10,AE10,AG10,AI10)</f>
        <v>15</v>
      </c>
      <c r="AL10" s="421">
        <f t="shared" ref="AL10:AL47" si="19">SUM(Z10,AB10,AD10,AF10,AH10,AJ10)</f>
        <v>3686.875</v>
      </c>
      <c r="AM10" s="154"/>
      <c r="AN10" s="401">
        <f t="shared" si="6"/>
        <v>0</v>
      </c>
      <c r="AO10" s="366">
        <v>1</v>
      </c>
      <c r="AP10" s="402">
        <f t="shared" si="7"/>
        <v>5309.1</v>
      </c>
      <c r="AQ10" s="366"/>
      <c r="AR10" s="401">
        <f t="shared" ref="AR10:AR14" si="20">SUM($H$4*0.2*AQ10)</f>
        <v>0</v>
      </c>
      <c r="AS10" s="154"/>
      <c r="AT10" s="401">
        <f t="shared" ref="AT10:AT47" si="21">SUM($H$4*$H10*AS10/18)</f>
        <v>0</v>
      </c>
      <c r="AU10" s="422"/>
      <c r="AV10" s="401">
        <f t="shared" ref="AV10:AV14" si="22">SUM($H$4*$H10*AU10/18)*0.7</f>
        <v>0</v>
      </c>
      <c r="AW10" s="459"/>
      <c r="AX10" s="401">
        <f t="shared" ref="AX10:AX47" si="23">SUM($H$4*$H10*AW10/18)*0.3</f>
        <v>0</v>
      </c>
      <c r="AY10" s="154"/>
      <c r="AZ10" s="449">
        <f t="shared" ref="AZ10:AZ47" si="24">SUM(($H$4*0.25)/18)*AY10</f>
        <v>0</v>
      </c>
      <c r="BA10" s="366"/>
      <c r="BB10" s="401">
        <f t="shared" ref="BB10:BB47" si="25">SUM($H$4*0.2)*BA10</f>
        <v>0</v>
      </c>
      <c r="BC10" s="366"/>
      <c r="BD10" s="449"/>
      <c r="BE10" s="401">
        <f t="shared" ref="BE10:BE47" si="26">SUM(U10*0.1)</f>
        <v>14893.0086666667</v>
      </c>
      <c r="BF10" s="362">
        <f t="shared" ref="BF10:BF47" si="27">AL10+AN10+AP10+AT10+AV10+AX10+AZ10+BB10+BD10+BE10+AR10</f>
        <v>23888.9836666667</v>
      </c>
      <c r="BG10" s="421">
        <f t="shared" ref="BG10:BG47" si="28">X10+BF10</f>
        <v>210051.592</v>
      </c>
      <c r="BH10" s="421">
        <f t="shared" ref="BH10:BH52" si="29">BG10*12</f>
        <v>2520619.104</v>
      </c>
      <c r="BI10" s="105">
        <f t="shared" ref="BI10:BI52" si="30">SUM(I10)</f>
        <v>1.56</v>
      </c>
      <c r="BJ10" s="430">
        <f t="shared" ref="BJ10:BJ47" si="31">SUM(($H$4*H10)+(($H$4*H10*V10)/100))*BI10</f>
        <v>186694.5015</v>
      </c>
    </row>
    <row r="11" ht="46.5" customHeight="1" spans="1:62">
      <c r="A11" s="82">
        <v>4</v>
      </c>
      <c r="B11" s="15" t="s">
        <v>64</v>
      </c>
      <c r="C11" s="16" t="s">
        <v>65</v>
      </c>
      <c r="D11" s="15" t="s">
        <v>59</v>
      </c>
      <c r="E11" s="136" t="s">
        <v>60</v>
      </c>
      <c r="F11" s="18" t="s">
        <v>66</v>
      </c>
      <c r="G11" s="86">
        <v>35.4</v>
      </c>
      <c r="H11" s="20">
        <v>5.41</v>
      </c>
      <c r="I11" s="105">
        <f t="shared" si="0"/>
        <v>1.64</v>
      </c>
      <c r="J11" s="109"/>
      <c r="K11" s="109"/>
      <c r="L11" s="434">
        <v>4</v>
      </c>
      <c r="M11" s="434">
        <v>22</v>
      </c>
      <c r="N11" s="190">
        <v>3.5</v>
      </c>
      <c r="O11" s="400">
        <f t="shared" si="8"/>
        <v>29.5</v>
      </c>
      <c r="P11" s="401">
        <f t="shared" si="9"/>
        <v>0</v>
      </c>
      <c r="Q11" s="421">
        <f t="shared" si="10"/>
        <v>0</v>
      </c>
      <c r="R11" s="421">
        <f t="shared" si="11"/>
        <v>21275.7266666667</v>
      </c>
      <c r="S11" s="421">
        <f t="shared" si="12"/>
        <v>117016.496666667</v>
      </c>
      <c r="T11" s="421">
        <f t="shared" si="13"/>
        <v>18616.2608333333</v>
      </c>
      <c r="U11" s="421">
        <f t="shared" si="14"/>
        <v>156908.484166667</v>
      </c>
      <c r="V11" s="422">
        <v>25</v>
      </c>
      <c r="W11" s="421">
        <f t="shared" si="15"/>
        <v>39227.1210416667</v>
      </c>
      <c r="X11" s="421">
        <f t="shared" si="16"/>
        <v>196135.605208333</v>
      </c>
      <c r="Y11" s="190">
        <v>1</v>
      </c>
      <c r="Z11" s="421">
        <f t="shared" si="1"/>
        <v>245.791666666667</v>
      </c>
      <c r="AA11" s="440">
        <v>6.25</v>
      </c>
      <c r="AB11" s="401">
        <f t="shared" si="2"/>
        <v>1536.19791666667</v>
      </c>
      <c r="AC11" s="440">
        <v>0.75</v>
      </c>
      <c r="AD11" s="366">
        <f t="shared" si="3"/>
        <v>184.34375</v>
      </c>
      <c r="AE11" s="190"/>
      <c r="AF11" s="401">
        <f t="shared" si="4"/>
        <v>0</v>
      </c>
      <c r="AG11" s="190"/>
      <c r="AH11" s="449">
        <f t="shared" si="5"/>
        <v>0</v>
      </c>
      <c r="AI11" s="190"/>
      <c r="AJ11" s="421">
        <f t="shared" si="17"/>
        <v>0</v>
      </c>
      <c r="AK11" s="423">
        <f t="shared" si="18"/>
        <v>8</v>
      </c>
      <c r="AL11" s="421">
        <f t="shared" si="19"/>
        <v>1966.33333333333</v>
      </c>
      <c r="AM11" s="190"/>
      <c r="AN11" s="401">
        <f t="shared" si="6"/>
        <v>0</v>
      </c>
      <c r="AO11" s="458">
        <v>0.5</v>
      </c>
      <c r="AP11" s="402">
        <f t="shared" si="7"/>
        <v>2654.55</v>
      </c>
      <c r="AQ11" s="440"/>
      <c r="AR11" s="401">
        <f t="shared" si="20"/>
        <v>0</v>
      </c>
      <c r="AS11" s="154"/>
      <c r="AT11" s="401">
        <f t="shared" si="21"/>
        <v>0</v>
      </c>
      <c r="AU11" s="422"/>
      <c r="AV11" s="401">
        <f t="shared" si="22"/>
        <v>0</v>
      </c>
      <c r="AW11" s="459"/>
      <c r="AX11" s="401">
        <f t="shared" si="23"/>
        <v>0</v>
      </c>
      <c r="AY11" s="154"/>
      <c r="AZ11" s="449">
        <f t="shared" si="24"/>
        <v>0</v>
      </c>
      <c r="BA11" s="366"/>
      <c r="BB11" s="401">
        <f t="shared" si="25"/>
        <v>0</v>
      </c>
      <c r="BC11" s="366">
        <v>50</v>
      </c>
      <c r="BD11" s="449">
        <f t="shared" ref="BD11:BD47" si="32">((($H$4*BC11)/100)*20)/100</f>
        <v>1769.7</v>
      </c>
      <c r="BE11" s="401">
        <f t="shared" si="26"/>
        <v>15690.8484166667</v>
      </c>
      <c r="BF11" s="362">
        <f t="shared" si="27"/>
        <v>22081.43175</v>
      </c>
      <c r="BG11" s="421">
        <f t="shared" si="28"/>
        <v>218217.036958333</v>
      </c>
      <c r="BH11" s="421">
        <f t="shared" si="29"/>
        <v>2618604.4435</v>
      </c>
      <c r="BI11" s="105">
        <f t="shared" si="30"/>
        <v>1.64</v>
      </c>
      <c r="BJ11" s="430">
        <f t="shared" si="31"/>
        <v>196268.5785</v>
      </c>
    </row>
    <row r="12" ht="36.75" customHeight="1" spans="1:62">
      <c r="A12" s="82">
        <v>5</v>
      </c>
      <c r="B12" s="15" t="s">
        <v>67</v>
      </c>
      <c r="C12" s="15" t="s">
        <v>68</v>
      </c>
      <c r="D12" s="15" t="s">
        <v>59</v>
      </c>
      <c r="E12" s="136" t="s">
        <v>60</v>
      </c>
      <c r="F12" s="18" t="s">
        <v>69</v>
      </c>
      <c r="G12" s="86">
        <v>32.4</v>
      </c>
      <c r="H12" s="20">
        <v>5.41</v>
      </c>
      <c r="I12" s="105">
        <f t="shared" si="0"/>
        <v>1.33</v>
      </c>
      <c r="J12" s="109"/>
      <c r="K12" s="397"/>
      <c r="L12" s="434"/>
      <c r="M12" s="153">
        <v>18</v>
      </c>
      <c r="N12" s="154">
        <v>6</v>
      </c>
      <c r="O12" s="400">
        <f t="shared" si="8"/>
        <v>24</v>
      </c>
      <c r="P12" s="401">
        <f t="shared" si="9"/>
        <v>0</v>
      </c>
      <c r="Q12" s="421">
        <f t="shared" si="10"/>
        <v>0</v>
      </c>
      <c r="R12" s="421">
        <f t="shared" si="11"/>
        <v>0</v>
      </c>
      <c r="S12" s="421">
        <f t="shared" si="12"/>
        <v>95740.77</v>
      </c>
      <c r="T12" s="421">
        <f t="shared" si="13"/>
        <v>31913.59</v>
      </c>
      <c r="U12" s="421">
        <f t="shared" si="14"/>
        <v>127654.36</v>
      </c>
      <c r="V12" s="422">
        <v>25</v>
      </c>
      <c r="W12" s="421">
        <f t="shared" si="15"/>
        <v>31913.59</v>
      </c>
      <c r="X12" s="421">
        <f t="shared" si="16"/>
        <v>159567.95</v>
      </c>
      <c r="Y12" s="154"/>
      <c r="Z12" s="421">
        <f t="shared" si="1"/>
        <v>0</v>
      </c>
      <c r="AA12" s="366"/>
      <c r="AB12" s="401">
        <f t="shared" si="2"/>
        <v>0</v>
      </c>
      <c r="AC12" s="366"/>
      <c r="AD12" s="366">
        <f t="shared" si="3"/>
        <v>0</v>
      </c>
      <c r="AE12" s="154"/>
      <c r="AF12" s="401">
        <f t="shared" si="4"/>
        <v>0</v>
      </c>
      <c r="AG12" s="451">
        <v>6.25</v>
      </c>
      <c r="AH12" s="449">
        <f t="shared" si="5"/>
        <v>1228.95833333333</v>
      </c>
      <c r="AI12" s="154">
        <v>1.5</v>
      </c>
      <c r="AJ12" s="421">
        <f t="shared" si="17"/>
        <v>294.95</v>
      </c>
      <c r="AK12" s="423">
        <f t="shared" si="18"/>
        <v>7.75</v>
      </c>
      <c r="AL12" s="421">
        <f t="shared" si="19"/>
        <v>1523.90833333333</v>
      </c>
      <c r="AM12" s="450"/>
      <c r="AN12" s="401">
        <f t="shared" si="6"/>
        <v>0</v>
      </c>
      <c r="AO12" s="440">
        <v>0.5</v>
      </c>
      <c r="AP12" s="402">
        <f t="shared" si="7"/>
        <v>2654.55</v>
      </c>
      <c r="AQ12" s="366"/>
      <c r="AR12" s="401">
        <f t="shared" si="20"/>
        <v>0</v>
      </c>
      <c r="AS12" s="154"/>
      <c r="AT12" s="401">
        <f t="shared" si="21"/>
        <v>0</v>
      </c>
      <c r="AU12" s="422"/>
      <c r="AV12" s="401">
        <f t="shared" si="22"/>
        <v>0</v>
      </c>
      <c r="AW12" s="459"/>
      <c r="AX12" s="401">
        <f t="shared" si="23"/>
        <v>0</v>
      </c>
      <c r="AY12" s="154"/>
      <c r="AZ12" s="449">
        <f t="shared" si="24"/>
        <v>0</v>
      </c>
      <c r="BA12" s="366"/>
      <c r="BB12" s="401">
        <f t="shared" si="25"/>
        <v>0</v>
      </c>
      <c r="BC12" s="366"/>
      <c r="BD12" s="449">
        <f t="shared" si="32"/>
        <v>0</v>
      </c>
      <c r="BE12" s="401">
        <f t="shared" si="26"/>
        <v>12765.436</v>
      </c>
      <c r="BF12" s="362">
        <f t="shared" si="27"/>
        <v>16943.8943333333</v>
      </c>
      <c r="BG12" s="421">
        <f t="shared" si="28"/>
        <v>176511.844333333</v>
      </c>
      <c r="BH12" s="421">
        <f t="shared" si="29"/>
        <v>2118142.132</v>
      </c>
      <c r="BI12" s="105">
        <f t="shared" si="30"/>
        <v>1.33</v>
      </c>
      <c r="BJ12" s="430">
        <f t="shared" si="31"/>
        <v>159169.030125</v>
      </c>
    </row>
    <row r="13" ht="36.75" customHeight="1" spans="1:62">
      <c r="A13" s="82">
        <v>6</v>
      </c>
      <c r="B13" s="15" t="s">
        <v>70</v>
      </c>
      <c r="C13" s="16" t="s">
        <v>71</v>
      </c>
      <c r="D13" s="15" t="s">
        <v>59</v>
      </c>
      <c r="E13" s="136" t="s">
        <v>60</v>
      </c>
      <c r="F13" s="18" t="s">
        <v>61</v>
      </c>
      <c r="G13" s="86">
        <v>26</v>
      </c>
      <c r="H13" s="20">
        <v>5.41</v>
      </c>
      <c r="I13" s="105">
        <f t="shared" si="0"/>
        <v>0.72</v>
      </c>
      <c r="J13" s="109"/>
      <c r="K13" s="397"/>
      <c r="L13" s="434"/>
      <c r="M13" s="153">
        <v>10</v>
      </c>
      <c r="N13" s="154">
        <v>3</v>
      </c>
      <c r="O13" s="400">
        <f t="shared" si="8"/>
        <v>13</v>
      </c>
      <c r="P13" s="401">
        <f t="shared" si="9"/>
        <v>0</v>
      </c>
      <c r="Q13" s="421">
        <f t="shared" si="10"/>
        <v>0</v>
      </c>
      <c r="R13" s="421">
        <f t="shared" si="11"/>
        <v>0</v>
      </c>
      <c r="S13" s="421">
        <f t="shared" si="12"/>
        <v>53189.3166666667</v>
      </c>
      <c r="T13" s="421">
        <f t="shared" si="13"/>
        <v>15956.795</v>
      </c>
      <c r="U13" s="421">
        <f t="shared" si="14"/>
        <v>69146.1116666667</v>
      </c>
      <c r="V13" s="422">
        <v>25</v>
      </c>
      <c r="W13" s="421">
        <f t="shared" si="15"/>
        <v>17286.5279166667</v>
      </c>
      <c r="X13" s="421">
        <f t="shared" si="16"/>
        <v>86432.6395833334</v>
      </c>
      <c r="Y13" s="154"/>
      <c r="Z13" s="421">
        <f t="shared" si="1"/>
        <v>0</v>
      </c>
      <c r="AA13" s="366">
        <v>6.25</v>
      </c>
      <c r="AB13" s="401">
        <f t="shared" si="2"/>
        <v>1536.19791666667</v>
      </c>
      <c r="AC13" s="366">
        <v>0.75</v>
      </c>
      <c r="AD13" s="366"/>
      <c r="AE13" s="154"/>
      <c r="AF13" s="401">
        <f t="shared" si="4"/>
        <v>0</v>
      </c>
      <c r="AG13" s="451"/>
      <c r="AH13" s="449">
        <f t="shared" si="5"/>
        <v>0</v>
      </c>
      <c r="AI13" s="154"/>
      <c r="AJ13" s="421">
        <f t="shared" si="17"/>
        <v>0</v>
      </c>
      <c r="AK13" s="423">
        <f t="shared" si="18"/>
        <v>7</v>
      </c>
      <c r="AL13" s="421">
        <f t="shared" si="19"/>
        <v>1536.19791666667</v>
      </c>
      <c r="AM13" s="450"/>
      <c r="AN13" s="401">
        <f t="shared" si="6"/>
        <v>0</v>
      </c>
      <c r="AO13" s="440"/>
      <c r="AP13" s="402">
        <f t="shared" si="7"/>
        <v>0</v>
      </c>
      <c r="AQ13" s="366"/>
      <c r="AR13" s="401">
        <f t="shared" si="20"/>
        <v>0</v>
      </c>
      <c r="AS13" s="154"/>
      <c r="AT13" s="401">
        <f t="shared" si="21"/>
        <v>0</v>
      </c>
      <c r="AU13" s="422"/>
      <c r="AV13" s="401">
        <f t="shared" si="22"/>
        <v>0</v>
      </c>
      <c r="AW13" s="459"/>
      <c r="AX13" s="401">
        <f t="shared" si="23"/>
        <v>0</v>
      </c>
      <c r="AY13" s="154"/>
      <c r="AZ13" s="449">
        <f t="shared" si="24"/>
        <v>0</v>
      </c>
      <c r="BA13" s="366"/>
      <c r="BB13" s="401">
        <f t="shared" si="25"/>
        <v>0</v>
      </c>
      <c r="BC13" s="366"/>
      <c r="BD13" s="449">
        <f t="shared" si="32"/>
        <v>0</v>
      </c>
      <c r="BE13" s="401">
        <f t="shared" si="26"/>
        <v>6914.61116666667</v>
      </c>
      <c r="BF13" s="362">
        <f t="shared" si="27"/>
        <v>8450.80908333334</v>
      </c>
      <c r="BG13" s="421">
        <f t="shared" si="28"/>
        <v>94883.4486666667</v>
      </c>
      <c r="BH13" s="421">
        <f t="shared" si="29"/>
        <v>1138601.384</v>
      </c>
      <c r="BI13" s="105">
        <f t="shared" si="30"/>
        <v>0.72</v>
      </c>
      <c r="BJ13" s="430">
        <f t="shared" si="31"/>
        <v>86166.693</v>
      </c>
    </row>
    <row r="14" ht="36.75" customHeight="1" spans="1:62">
      <c r="A14" s="82">
        <v>8</v>
      </c>
      <c r="B14" s="164" t="s">
        <v>72</v>
      </c>
      <c r="C14" s="15" t="s">
        <v>73</v>
      </c>
      <c r="D14" s="15" t="s">
        <v>59</v>
      </c>
      <c r="E14" s="136" t="s">
        <v>60</v>
      </c>
      <c r="F14" s="18" t="s">
        <v>74</v>
      </c>
      <c r="G14" s="86">
        <v>19.4</v>
      </c>
      <c r="H14" s="15">
        <v>5.24</v>
      </c>
      <c r="I14" s="105">
        <f t="shared" si="0"/>
        <v>0.33</v>
      </c>
      <c r="J14" s="109"/>
      <c r="K14" s="405"/>
      <c r="L14" s="434">
        <v>4</v>
      </c>
      <c r="M14" s="153">
        <v>2</v>
      </c>
      <c r="N14" s="154"/>
      <c r="O14" s="400">
        <f t="shared" si="8"/>
        <v>6</v>
      </c>
      <c r="P14" s="401">
        <f t="shared" si="9"/>
        <v>0</v>
      </c>
      <c r="Q14" s="421">
        <f t="shared" si="10"/>
        <v>0</v>
      </c>
      <c r="R14" s="421">
        <f t="shared" si="11"/>
        <v>20607.1733333333</v>
      </c>
      <c r="S14" s="421">
        <f t="shared" si="12"/>
        <v>10303.5866666667</v>
      </c>
      <c r="T14" s="421">
        <f t="shared" si="13"/>
        <v>0</v>
      </c>
      <c r="U14" s="421">
        <f t="shared" si="14"/>
        <v>30910.76</v>
      </c>
      <c r="V14" s="422">
        <v>25</v>
      </c>
      <c r="W14" s="421">
        <f t="shared" si="15"/>
        <v>7727.69</v>
      </c>
      <c r="X14" s="421">
        <f t="shared" si="16"/>
        <v>38638.45</v>
      </c>
      <c r="Y14" s="154"/>
      <c r="Z14" s="421">
        <f t="shared" si="1"/>
        <v>0</v>
      </c>
      <c r="AA14" s="366"/>
      <c r="AB14" s="401">
        <f t="shared" si="2"/>
        <v>0</v>
      </c>
      <c r="AC14" s="366"/>
      <c r="AD14" s="366">
        <f t="shared" si="3"/>
        <v>0</v>
      </c>
      <c r="AE14" s="154"/>
      <c r="AF14" s="401">
        <f t="shared" si="4"/>
        <v>0</v>
      </c>
      <c r="AG14" s="451"/>
      <c r="AH14" s="449">
        <f t="shared" si="5"/>
        <v>0</v>
      </c>
      <c r="AI14" s="154"/>
      <c r="AJ14" s="421">
        <f t="shared" si="17"/>
        <v>0</v>
      </c>
      <c r="AK14" s="423">
        <f t="shared" si="18"/>
        <v>0</v>
      </c>
      <c r="AL14" s="421">
        <f t="shared" si="19"/>
        <v>0</v>
      </c>
      <c r="AM14" s="450"/>
      <c r="AN14" s="401">
        <f t="shared" si="6"/>
        <v>0</v>
      </c>
      <c r="AO14" s="440"/>
      <c r="AP14" s="402">
        <f t="shared" si="7"/>
        <v>0</v>
      </c>
      <c r="AQ14" s="366"/>
      <c r="AR14" s="401">
        <f t="shared" si="20"/>
        <v>0</v>
      </c>
      <c r="AS14" s="154"/>
      <c r="AT14" s="401">
        <f t="shared" si="21"/>
        <v>0</v>
      </c>
      <c r="AU14" s="422"/>
      <c r="AV14" s="401">
        <f t="shared" si="22"/>
        <v>0</v>
      </c>
      <c r="AW14" s="459"/>
      <c r="AX14" s="401">
        <f t="shared" si="23"/>
        <v>0</v>
      </c>
      <c r="AY14" s="154"/>
      <c r="AZ14" s="449">
        <f t="shared" si="24"/>
        <v>0</v>
      </c>
      <c r="BA14" s="366"/>
      <c r="BB14" s="401">
        <f t="shared" si="25"/>
        <v>0</v>
      </c>
      <c r="BC14" s="366"/>
      <c r="BD14" s="449">
        <f t="shared" si="32"/>
        <v>0</v>
      </c>
      <c r="BE14" s="401">
        <f t="shared" si="26"/>
        <v>3091.076</v>
      </c>
      <c r="BF14" s="362">
        <f t="shared" si="27"/>
        <v>3091.076</v>
      </c>
      <c r="BG14" s="421">
        <f t="shared" si="28"/>
        <v>41729.526</v>
      </c>
      <c r="BH14" s="421">
        <f t="shared" si="29"/>
        <v>500754.312</v>
      </c>
      <c r="BI14" s="105">
        <f t="shared" si="30"/>
        <v>0.33</v>
      </c>
      <c r="BJ14" s="430">
        <f t="shared" si="31"/>
        <v>38252.0655</v>
      </c>
    </row>
    <row r="15" s="345" customFormat="1" ht="18.75" customHeight="1" spans="1:62">
      <c r="A15" s="359"/>
      <c r="B15" s="48" t="s">
        <v>75</v>
      </c>
      <c r="C15" s="105"/>
      <c r="D15" s="105"/>
      <c r="E15" s="360"/>
      <c r="F15" s="361"/>
      <c r="G15" s="362"/>
      <c r="H15" s="363"/>
      <c r="I15" s="48">
        <f>SUM(I9:I14)</f>
        <v>6.91</v>
      </c>
      <c r="J15" s="48">
        <f t="shared" ref="J15:BJ15" si="33">SUM(J9:J14)</f>
        <v>0</v>
      </c>
      <c r="K15" s="48">
        <f t="shared" si="33"/>
        <v>0</v>
      </c>
      <c r="L15" s="48">
        <f t="shared" si="33"/>
        <v>40</v>
      </c>
      <c r="M15" s="48">
        <f t="shared" si="33"/>
        <v>69</v>
      </c>
      <c r="N15" s="48">
        <f t="shared" si="33"/>
        <v>15.5</v>
      </c>
      <c r="O15" s="48">
        <f t="shared" si="33"/>
        <v>124.5</v>
      </c>
      <c r="P15" s="48">
        <f t="shared" si="33"/>
        <v>0</v>
      </c>
      <c r="Q15" s="48">
        <f t="shared" si="33"/>
        <v>0</v>
      </c>
      <c r="R15" s="48">
        <f t="shared" si="33"/>
        <v>212088.713333333</v>
      </c>
      <c r="S15" s="48">
        <f t="shared" si="33"/>
        <v>366672.008333333</v>
      </c>
      <c r="T15" s="48">
        <f t="shared" si="33"/>
        <v>82443.4408333333</v>
      </c>
      <c r="U15" s="48">
        <f t="shared" si="33"/>
        <v>661204.1625</v>
      </c>
      <c r="V15" s="48">
        <f t="shared" si="33"/>
        <v>150</v>
      </c>
      <c r="W15" s="48">
        <f t="shared" si="33"/>
        <v>165301.040625</v>
      </c>
      <c r="X15" s="48">
        <f t="shared" si="33"/>
        <v>826505.203125</v>
      </c>
      <c r="Y15" s="48">
        <f t="shared" si="33"/>
        <v>12</v>
      </c>
      <c r="Z15" s="48">
        <f t="shared" si="33"/>
        <v>2949.5</v>
      </c>
      <c r="AA15" s="48">
        <f t="shared" si="33"/>
        <v>20</v>
      </c>
      <c r="AB15" s="48">
        <f t="shared" si="33"/>
        <v>4915.83333333333</v>
      </c>
      <c r="AC15" s="48">
        <f t="shared" si="33"/>
        <v>2</v>
      </c>
      <c r="AD15" s="48">
        <f t="shared" si="33"/>
        <v>307.239583333333</v>
      </c>
      <c r="AE15" s="48">
        <f t="shared" si="33"/>
        <v>5</v>
      </c>
      <c r="AF15" s="48">
        <f t="shared" si="33"/>
        <v>983.166666666667</v>
      </c>
      <c r="AG15" s="48">
        <f t="shared" si="33"/>
        <v>6.25</v>
      </c>
      <c r="AH15" s="48">
        <f t="shared" si="33"/>
        <v>1228.95833333333</v>
      </c>
      <c r="AI15" s="48">
        <f t="shared" si="33"/>
        <v>1.5</v>
      </c>
      <c r="AJ15" s="48">
        <f t="shared" si="33"/>
        <v>294.95</v>
      </c>
      <c r="AK15" s="48">
        <f t="shared" si="33"/>
        <v>46.75</v>
      </c>
      <c r="AL15" s="48">
        <f t="shared" si="33"/>
        <v>10679.6479166667</v>
      </c>
      <c r="AM15" s="48">
        <f t="shared" si="33"/>
        <v>1</v>
      </c>
      <c r="AN15" s="48">
        <f t="shared" si="33"/>
        <v>4424.25</v>
      </c>
      <c r="AO15" s="48">
        <f t="shared" si="33"/>
        <v>2</v>
      </c>
      <c r="AP15" s="48">
        <f t="shared" si="33"/>
        <v>10618.2</v>
      </c>
      <c r="AQ15" s="48">
        <f t="shared" si="33"/>
        <v>0</v>
      </c>
      <c r="AR15" s="48">
        <f t="shared" si="33"/>
        <v>0</v>
      </c>
      <c r="AS15" s="48">
        <f t="shared" si="33"/>
        <v>0</v>
      </c>
      <c r="AT15" s="48">
        <f t="shared" si="33"/>
        <v>0</v>
      </c>
      <c r="AU15" s="48">
        <f t="shared" si="33"/>
        <v>0</v>
      </c>
      <c r="AV15" s="48">
        <f t="shared" si="33"/>
        <v>0</v>
      </c>
      <c r="AW15" s="48">
        <f t="shared" si="33"/>
        <v>0</v>
      </c>
      <c r="AX15" s="48">
        <f t="shared" si="33"/>
        <v>0</v>
      </c>
      <c r="AY15" s="48">
        <f t="shared" si="33"/>
        <v>0</v>
      </c>
      <c r="AZ15" s="48">
        <f t="shared" si="33"/>
        <v>0</v>
      </c>
      <c r="BA15" s="48">
        <f t="shared" si="33"/>
        <v>0</v>
      </c>
      <c r="BB15" s="48">
        <f t="shared" si="33"/>
        <v>0</v>
      </c>
      <c r="BC15" s="48">
        <f t="shared" si="33"/>
        <v>50</v>
      </c>
      <c r="BD15" s="48">
        <f t="shared" si="33"/>
        <v>1769.7</v>
      </c>
      <c r="BE15" s="48">
        <f t="shared" si="33"/>
        <v>66120.41625</v>
      </c>
      <c r="BF15" s="48">
        <f t="shared" si="33"/>
        <v>93612.2141666667</v>
      </c>
      <c r="BG15" s="48">
        <f t="shared" si="33"/>
        <v>920117.417291667</v>
      </c>
      <c r="BH15" s="48">
        <f t="shared" si="33"/>
        <v>11041409.0075</v>
      </c>
      <c r="BI15" s="48">
        <f t="shared" si="33"/>
        <v>6.91</v>
      </c>
      <c r="BJ15" s="48">
        <f t="shared" si="33"/>
        <v>825719.89875</v>
      </c>
    </row>
    <row r="16" ht="36.75" customHeight="1" spans="1:62">
      <c r="A16" s="82">
        <v>1</v>
      </c>
      <c r="B16" s="15" t="s">
        <v>76</v>
      </c>
      <c r="C16" s="15" t="s">
        <v>77</v>
      </c>
      <c r="D16" s="15" t="s">
        <v>59</v>
      </c>
      <c r="E16" s="85" t="s">
        <v>78</v>
      </c>
      <c r="F16" s="18">
        <v>1</v>
      </c>
      <c r="G16" s="143">
        <v>28.1</v>
      </c>
      <c r="H16" s="432">
        <v>5.2</v>
      </c>
      <c r="I16" s="105">
        <f t="shared" si="0"/>
        <v>1.17</v>
      </c>
      <c r="J16" s="109"/>
      <c r="K16" s="402"/>
      <c r="L16" s="434"/>
      <c r="M16" s="153">
        <v>17</v>
      </c>
      <c r="N16" s="154">
        <v>4</v>
      </c>
      <c r="O16" s="400">
        <f t="shared" ref="O16:O47" si="34">SUM(L16:N16)</f>
        <v>21</v>
      </c>
      <c r="P16" s="401">
        <f t="shared" ref="P16:P27" si="35">SUM(($H$4*H16)/24)*J16</f>
        <v>0</v>
      </c>
      <c r="Q16" s="421">
        <f t="shared" ref="Q16:Q27" si="36">SUM(($H$4*H16)/24)*K16</f>
        <v>0</v>
      </c>
      <c r="R16" s="421">
        <f t="shared" ref="R16:R27" si="37">($H$4*H16)/18*L16</f>
        <v>0</v>
      </c>
      <c r="S16" s="421">
        <f t="shared" ref="S16:S27" si="38">($H$4*H16)*M16/18</f>
        <v>86911.9333333333</v>
      </c>
      <c r="T16" s="421">
        <f t="shared" ref="T16:T27" si="39">($H$4*H16)/18*N16</f>
        <v>20449.8666666667</v>
      </c>
      <c r="U16" s="421">
        <f t="shared" si="14"/>
        <v>107361.8</v>
      </c>
      <c r="V16" s="422">
        <v>25</v>
      </c>
      <c r="W16" s="421">
        <f t="shared" si="15"/>
        <v>26840.45</v>
      </c>
      <c r="X16" s="421">
        <f t="shared" si="16"/>
        <v>134202.25</v>
      </c>
      <c r="Y16" s="154"/>
      <c r="Z16" s="421">
        <f t="shared" si="1"/>
        <v>0</v>
      </c>
      <c r="AA16" s="366"/>
      <c r="AB16" s="401">
        <f t="shared" si="2"/>
        <v>0</v>
      </c>
      <c r="AC16" s="366"/>
      <c r="AD16" s="366">
        <f t="shared" ref="AD16:AD27" si="40">SUM(($H$4*0.25)/18*AC16)</f>
        <v>0</v>
      </c>
      <c r="AE16" s="154"/>
      <c r="AF16" s="401">
        <f t="shared" si="4"/>
        <v>0</v>
      </c>
      <c r="AG16" s="154"/>
      <c r="AH16" s="449">
        <f t="shared" si="5"/>
        <v>0</v>
      </c>
      <c r="AI16" s="154"/>
      <c r="AJ16" s="421">
        <f t="shared" si="17"/>
        <v>0</v>
      </c>
      <c r="AK16" s="423">
        <f t="shared" si="18"/>
        <v>0</v>
      </c>
      <c r="AL16" s="421">
        <f t="shared" si="19"/>
        <v>0</v>
      </c>
      <c r="AM16" s="154"/>
      <c r="AN16" s="401">
        <f t="shared" si="6"/>
        <v>0</v>
      </c>
      <c r="AO16" s="366">
        <v>0.5</v>
      </c>
      <c r="AP16" s="402">
        <f t="shared" si="7"/>
        <v>2654.55</v>
      </c>
      <c r="AQ16" s="366"/>
      <c r="AR16" s="401">
        <f t="shared" ref="AR16:AR27" si="41">SUM($H$4*0.2*AQ16)</f>
        <v>0</v>
      </c>
      <c r="AS16" s="154"/>
      <c r="AT16" s="401">
        <f t="shared" si="21"/>
        <v>0</v>
      </c>
      <c r="AU16" s="422"/>
      <c r="AV16" s="401">
        <f t="shared" ref="AV16:AV27" si="42">SUM($H$4*$H16*AU16/18)*0.7</f>
        <v>0</v>
      </c>
      <c r="AW16" s="459"/>
      <c r="AX16" s="401">
        <f t="shared" si="23"/>
        <v>0</v>
      </c>
      <c r="AY16" s="154"/>
      <c r="AZ16" s="449">
        <f t="shared" si="24"/>
        <v>0</v>
      </c>
      <c r="BA16" s="366"/>
      <c r="BB16" s="401">
        <f t="shared" si="25"/>
        <v>0</v>
      </c>
      <c r="BC16" s="366"/>
      <c r="BD16" s="449">
        <f t="shared" si="32"/>
        <v>0</v>
      </c>
      <c r="BE16" s="401">
        <f t="shared" si="26"/>
        <v>10736.18</v>
      </c>
      <c r="BF16" s="362">
        <f t="shared" si="27"/>
        <v>13390.73</v>
      </c>
      <c r="BG16" s="421">
        <f t="shared" si="28"/>
        <v>147592.98</v>
      </c>
      <c r="BH16" s="421">
        <f t="shared" si="29"/>
        <v>1771115.76</v>
      </c>
      <c r="BI16" s="105">
        <f t="shared" si="30"/>
        <v>1.17</v>
      </c>
      <c r="BJ16" s="430">
        <f t="shared" si="31"/>
        <v>134585.685</v>
      </c>
    </row>
    <row r="17" s="346" customFormat="1" ht="39.75" customHeight="1" spans="1:63">
      <c r="A17" s="364">
        <v>2</v>
      </c>
      <c r="B17" s="15" t="s">
        <v>79</v>
      </c>
      <c r="C17" s="16" t="s">
        <v>65</v>
      </c>
      <c r="D17" s="15" t="s">
        <v>59</v>
      </c>
      <c r="E17" s="136" t="s">
        <v>78</v>
      </c>
      <c r="F17" s="18" t="s">
        <v>80</v>
      </c>
      <c r="G17" s="86">
        <v>14.4</v>
      </c>
      <c r="H17" s="15">
        <v>4.95</v>
      </c>
      <c r="I17" s="105">
        <f t="shared" si="0"/>
        <v>0.72</v>
      </c>
      <c r="J17" s="109"/>
      <c r="K17" s="402"/>
      <c r="L17" s="434"/>
      <c r="M17" s="153">
        <v>10</v>
      </c>
      <c r="N17" s="154">
        <v>3</v>
      </c>
      <c r="O17" s="400">
        <f t="shared" si="34"/>
        <v>13</v>
      </c>
      <c r="P17" s="401">
        <f t="shared" si="35"/>
        <v>0</v>
      </c>
      <c r="Q17" s="421">
        <f t="shared" si="36"/>
        <v>0</v>
      </c>
      <c r="R17" s="421">
        <f t="shared" si="37"/>
        <v>0</v>
      </c>
      <c r="S17" s="421">
        <f t="shared" si="38"/>
        <v>48666.75</v>
      </c>
      <c r="T17" s="421">
        <f t="shared" si="39"/>
        <v>14600.025</v>
      </c>
      <c r="U17" s="421">
        <f t="shared" si="14"/>
        <v>63266.775</v>
      </c>
      <c r="V17" s="422">
        <v>25</v>
      </c>
      <c r="W17" s="421">
        <f t="shared" si="15"/>
        <v>15816.69375</v>
      </c>
      <c r="X17" s="421">
        <f t="shared" si="16"/>
        <v>79083.46875</v>
      </c>
      <c r="Y17" s="154"/>
      <c r="Z17" s="421">
        <f t="shared" si="1"/>
        <v>0</v>
      </c>
      <c r="AA17" s="441">
        <v>3.75</v>
      </c>
      <c r="AB17" s="401">
        <f t="shared" si="2"/>
        <v>921.71875</v>
      </c>
      <c r="AC17" s="366">
        <v>1.25</v>
      </c>
      <c r="AD17" s="366">
        <f t="shared" si="40"/>
        <v>307.239583333333</v>
      </c>
      <c r="AE17" s="154"/>
      <c r="AF17" s="401">
        <f t="shared" si="4"/>
        <v>0</v>
      </c>
      <c r="AG17" s="154">
        <v>0</v>
      </c>
      <c r="AH17" s="449">
        <f t="shared" si="5"/>
        <v>0</v>
      </c>
      <c r="AI17" s="154"/>
      <c r="AJ17" s="421">
        <f t="shared" si="17"/>
        <v>0</v>
      </c>
      <c r="AK17" s="423">
        <f t="shared" si="18"/>
        <v>5</v>
      </c>
      <c r="AL17" s="421">
        <f t="shared" si="19"/>
        <v>1228.95833333333</v>
      </c>
      <c r="AM17" s="154"/>
      <c r="AN17" s="401">
        <f t="shared" si="6"/>
        <v>0</v>
      </c>
      <c r="AO17" s="366"/>
      <c r="AP17" s="402">
        <f t="shared" si="7"/>
        <v>0</v>
      </c>
      <c r="AQ17" s="366"/>
      <c r="AR17" s="401">
        <f t="shared" si="41"/>
        <v>0</v>
      </c>
      <c r="AS17" s="154"/>
      <c r="AT17" s="401">
        <f t="shared" si="21"/>
        <v>0</v>
      </c>
      <c r="AU17" s="422"/>
      <c r="AV17" s="401">
        <f t="shared" si="42"/>
        <v>0</v>
      </c>
      <c r="AW17" s="459"/>
      <c r="AX17" s="401">
        <f t="shared" si="23"/>
        <v>0</v>
      </c>
      <c r="AY17" s="154"/>
      <c r="AZ17" s="449">
        <f t="shared" si="24"/>
        <v>0</v>
      </c>
      <c r="BA17" s="366"/>
      <c r="BB17" s="401">
        <f t="shared" si="25"/>
        <v>0</v>
      </c>
      <c r="BC17" s="366"/>
      <c r="BD17" s="449">
        <f t="shared" si="32"/>
        <v>0</v>
      </c>
      <c r="BE17" s="401">
        <f t="shared" si="26"/>
        <v>6326.6775</v>
      </c>
      <c r="BF17" s="362">
        <f t="shared" si="27"/>
        <v>7555.63583333333</v>
      </c>
      <c r="BG17" s="421">
        <f t="shared" si="28"/>
        <v>86639.1045833333</v>
      </c>
      <c r="BH17" s="421">
        <f t="shared" si="29"/>
        <v>1039669.255</v>
      </c>
      <c r="BI17" s="105">
        <f t="shared" si="30"/>
        <v>0.72</v>
      </c>
      <c r="BJ17" s="430">
        <f t="shared" si="31"/>
        <v>78840.135</v>
      </c>
      <c r="BK17" s="77"/>
    </row>
    <row r="18" ht="40.5" customHeight="1" spans="1:62">
      <c r="A18" s="365"/>
      <c r="B18" s="15" t="s">
        <v>81</v>
      </c>
      <c r="C18" s="16" t="s">
        <v>65</v>
      </c>
      <c r="D18" s="15" t="s">
        <v>59</v>
      </c>
      <c r="E18" s="136" t="s">
        <v>82</v>
      </c>
      <c r="F18" s="18" t="s">
        <v>80</v>
      </c>
      <c r="G18" s="86">
        <v>14.4</v>
      </c>
      <c r="H18" s="15">
        <v>4.95</v>
      </c>
      <c r="I18" s="105">
        <f t="shared" si="0"/>
        <v>0.11</v>
      </c>
      <c r="J18" s="109"/>
      <c r="K18" s="402"/>
      <c r="L18" s="434"/>
      <c r="M18" s="153"/>
      <c r="N18" s="154">
        <v>2</v>
      </c>
      <c r="O18" s="400">
        <f t="shared" si="34"/>
        <v>2</v>
      </c>
      <c r="P18" s="401">
        <f t="shared" si="35"/>
        <v>0</v>
      </c>
      <c r="Q18" s="421">
        <f t="shared" si="36"/>
        <v>0</v>
      </c>
      <c r="R18" s="421">
        <f t="shared" si="37"/>
        <v>0</v>
      </c>
      <c r="S18" s="421">
        <f t="shared" si="38"/>
        <v>0</v>
      </c>
      <c r="T18" s="421">
        <f t="shared" si="39"/>
        <v>9733.35</v>
      </c>
      <c r="U18" s="421">
        <f t="shared" si="14"/>
        <v>9733.35</v>
      </c>
      <c r="V18" s="422">
        <v>25</v>
      </c>
      <c r="W18" s="421">
        <f t="shared" si="15"/>
        <v>2433.3375</v>
      </c>
      <c r="X18" s="421">
        <f t="shared" si="16"/>
        <v>12166.6875</v>
      </c>
      <c r="Y18" s="422"/>
      <c r="Z18" s="421">
        <f t="shared" si="1"/>
        <v>0</v>
      </c>
      <c r="AA18" s="442"/>
      <c r="AB18" s="401">
        <f t="shared" si="2"/>
        <v>0</v>
      </c>
      <c r="AC18" s="366"/>
      <c r="AD18" s="366">
        <f t="shared" si="40"/>
        <v>0</v>
      </c>
      <c r="AE18" s="422"/>
      <c r="AF18" s="401">
        <f t="shared" si="4"/>
        <v>0</v>
      </c>
      <c r="AG18" s="422"/>
      <c r="AH18" s="449">
        <f t="shared" si="5"/>
        <v>0</v>
      </c>
      <c r="AI18" s="422"/>
      <c r="AJ18" s="421">
        <f t="shared" si="17"/>
        <v>0</v>
      </c>
      <c r="AK18" s="423">
        <f t="shared" si="18"/>
        <v>0</v>
      </c>
      <c r="AL18" s="421">
        <f t="shared" si="19"/>
        <v>0</v>
      </c>
      <c r="AM18" s="422"/>
      <c r="AN18" s="401">
        <f t="shared" si="6"/>
        <v>0</v>
      </c>
      <c r="AO18" s="401"/>
      <c r="AP18" s="402">
        <f t="shared" si="7"/>
        <v>0</v>
      </c>
      <c r="AQ18" s="401"/>
      <c r="AR18" s="401">
        <f t="shared" si="41"/>
        <v>0</v>
      </c>
      <c r="AS18" s="422"/>
      <c r="AT18" s="401">
        <f t="shared" si="21"/>
        <v>0</v>
      </c>
      <c r="AU18" s="422"/>
      <c r="AV18" s="401">
        <f t="shared" si="42"/>
        <v>0</v>
      </c>
      <c r="AW18" s="459"/>
      <c r="AX18" s="401">
        <f t="shared" si="23"/>
        <v>0</v>
      </c>
      <c r="AY18" s="422"/>
      <c r="AZ18" s="449">
        <f t="shared" si="24"/>
        <v>0</v>
      </c>
      <c r="BA18" s="401"/>
      <c r="BB18" s="401">
        <f t="shared" si="25"/>
        <v>0</v>
      </c>
      <c r="BC18" s="401"/>
      <c r="BD18" s="449">
        <f t="shared" si="32"/>
        <v>0</v>
      </c>
      <c r="BE18" s="401">
        <f t="shared" si="26"/>
        <v>973.335</v>
      </c>
      <c r="BF18" s="362">
        <f t="shared" si="27"/>
        <v>973.335</v>
      </c>
      <c r="BG18" s="421">
        <f t="shared" si="28"/>
        <v>13140.0225</v>
      </c>
      <c r="BH18" s="421">
        <f t="shared" si="29"/>
        <v>157680.27</v>
      </c>
      <c r="BI18" s="105">
        <f t="shared" si="30"/>
        <v>0.11</v>
      </c>
      <c r="BJ18" s="430">
        <f t="shared" si="31"/>
        <v>12045.020625</v>
      </c>
    </row>
    <row r="19" ht="40.5" customHeight="1" spans="1:62">
      <c r="A19" s="82">
        <v>5</v>
      </c>
      <c r="B19" s="145" t="s">
        <v>83</v>
      </c>
      <c r="C19" s="16" t="s">
        <v>71</v>
      </c>
      <c r="D19" s="15" t="s">
        <v>59</v>
      </c>
      <c r="E19" s="136" t="s">
        <v>78</v>
      </c>
      <c r="F19" s="18" t="s">
        <v>80</v>
      </c>
      <c r="G19" s="146">
        <v>39.6</v>
      </c>
      <c r="H19" s="20">
        <v>5.2</v>
      </c>
      <c r="I19" s="105">
        <f t="shared" si="0"/>
        <v>1.22</v>
      </c>
      <c r="J19" s="109"/>
      <c r="K19" s="402"/>
      <c r="L19" s="434">
        <v>8</v>
      </c>
      <c r="M19" s="153">
        <v>12</v>
      </c>
      <c r="N19" s="154">
        <v>2</v>
      </c>
      <c r="O19" s="400">
        <f t="shared" si="34"/>
        <v>22</v>
      </c>
      <c r="P19" s="401">
        <f t="shared" si="35"/>
        <v>0</v>
      </c>
      <c r="Q19" s="421">
        <f t="shared" si="36"/>
        <v>0</v>
      </c>
      <c r="R19" s="421">
        <f t="shared" si="37"/>
        <v>40899.7333333333</v>
      </c>
      <c r="S19" s="421">
        <f t="shared" si="38"/>
        <v>61349.6</v>
      </c>
      <c r="T19" s="421">
        <f t="shared" si="39"/>
        <v>10224.9333333333</v>
      </c>
      <c r="U19" s="421">
        <f t="shared" si="14"/>
        <v>112474.266666667</v>
      </c>
      <c r="V19" s="422">
        <v>25</v>
      </c>
      <c r="W19" s="421">
        <f t="shared" si="15"/>
        <v>28118.5666666667</v>
      </c>
      <c r="X19" s="421">
        <f t="shared" si="16"/>
        <v>140592.833333333</v>
      </c>
      <c r="Y19" s="400">
        <v>1.5</v>
      </c>
      <c r="Z19" s="421">
        <f t="shared" si="1"/>
        <v>368.6875</v>
      </c>
      <c r="AA19" s="443">
        <v>3.75</v>
      </c>
      <c r="AB19" s="401">
        <f t="shared" si="2"/>
        <v>921.71875</v>
      </c>
      <c r="AC19" s="366">
        <v>0.375</v>
      </c>
      <c r="AD19" s="366">
        <f t="shared" si="40"/>
        <v>92.171875</v>
      </c>
      <c r="AE19" s="400"/>
      <c r="AF19" s="401">
        <f t="shared" si="4"/>
        <v>0</v>
      </c>
      <c r="AG19" s="400">
        <f t="shared" ref="AG19" si="43">SUM(AC19:AF19)</f>
        <v>92.546875</v>
      </c>
      <c r="AH19" s="400">
        <f t="shared" ref="AH19" si="44">SUM(AD19:AG19)</f>
        <v>184.71875</v>
      </c>
      <c r="AI19" s="400">
        <f t="shared" ref="AI19" si="45">SUM(AE19:AH19)</f>
        <v>277.265625</v>
      </c>
      <c r="AJ19" s="421">
        <f t="shared" si="17"/>
        <v>54519.6640625</v>
      </c>
      <c r="AK19" s="423">
        <f t="shared" si="18"/>
        <v>375.4375</v>
      </c>
      <c r="AL19" s="421">
        <f t="shared" si="19"/>
        <v>56086.9609375</v>
      </c>
      <c r="AM19" s="400"/>
      <c r="AN19" s="400">
        <f>AY2</f>
        <v>0</v>
      </c>
      <c r="AO19" s="400"/>
      <c r="AP19" s="402">
        <f t="shared" si="7"/>
        <v>0</v>
      </c>
      <c r="AQ19" s="400"/>
      <c r="AR19" s="400">
        <f t="shared" ref="AR19" si="46">SUM(AN19:AQ19)</f>
        <v>0</v>
      </c>
      <c r="AS19" s="400">
        <f t="shared" ref="AS19" si="47">SUM(AO19:AR19)</f>
        <v>0</v>
      </c>
      <c r="AT19" s="401">
        <f t="shared" si="21"/>
        <v>0</v>
      </c>
      <c r="AU19" s="400">
        <f t="shared" ref="AU19" si="48">SUM(AQ19:AT19)</f>
        <v>0</v>
      </c>
      <c r="AV19" s="400">
        <f t="shared" ref="AV19" si="49">SUM(AR19:AU19)</f>
        <v>0</v>
      </c>
      <c r="AW19" s="400">
        <f t="shared" ref="AW19" si="50">SUM(AS19:AV19)</f>
        <v>0</v>
      </c>
      <c r="AX19" s="401">
        <f t="shared" si="23"/>
        <v>0</v>
      </c>
      <c r="AY19" s="400">
        <f t="shared" ref="AY19" si="51">SUM(AU19:AX19)</f>
        <v>0</v>
      </c>
      <c r="AZ19" s="449">
        <f t="shared" si="24"/>
        <v>0</v>
      </c>
      <c r="BA19" s="400">
        <f t="shared" ref="BA19" si="52">SUM(AW19:AZ19)</f>
        <v>0</v>
      </c>
      <c r="BB19" s="401">
        <f t="shared" si="25"/>
        <v>0</v>
      </c>
      <c r="BC19" s="400">
        <f t="shared" ref="BC19" si="53">SUM(AY19:BB19)</f>
        <v>0</v>
      </c>
      <c r="BD19" s="449">
        <f t="shared" si="32"/>
        <v>0</v>
      </c>
      <c r="BE19" s="401">
        <f t="shared" si="26"/>
        <v>11247.4266666667</v>
      </c>
      <c r="BF19" s="362">
        <f t="shared" si="27"/>
        <v>67334.3876041667</v>
      </c>
      <c r="BG19" s="421">
        <f t="shared" si="28"/>
        <v>207927.2209375</v>
      </c>
      <c r="BH19" s="421">
        <f t="shared" si="29"/>
        <v>2495126.65125</v>
      </c>
      <c r="BI19" s="105">
        <f t="shared" si="30"/>
        <v>1.22</v>
      </c>
      <c r="BJ19" s="430">
        <f t="shared" si="31"/>
        <v>140337.21</v>
      </c>
    </row>
    <row r="20" ht="42" customHeight="1" spans="1:62">
      <c r="A20" s="82">
        <v>6</v>
      </c>
      <c r="B20" s="145" t="s">
        <v>84</v>
      </c>
      <c r="C20" s="15" t="s">
        <v>58</v>
      </c>
      <c r="D20" s="15" t="s">
        <v>59</v>
      </c>
      <c r="E20" s="136" t="s">
        <v>78</v>
      </c>
      <c r="F20" s="18" t="s">
        <v>80</v>
      </c>
      <c r="G20" s="146">
        <v>19.4</v>
      </c>
      <c r="H20" s="15">
        <v>5.03</v>
      </c>
      <c r="I20" s="105">
        <f t="shared" si="0"/>
        <v>1.33</v>
      </c>
      <c r="J20" s="109"/>
      <c r="K20" s="402"/>
      <c r="L20" s="434">
        <v>22</v>
      </c>
      <c r="M20" s="153">
        <v>1</v>
      </c>
      <c r="N20" s="154">
        <v>1</v>
      </c>
      <c r="O20" s="400">
        <f t="shared" si="34"/>
        <v>24</v>
      </c>
      <c r="P20" s="401">
        <f t="shared" si="35"/>
        <v>0</v>
      </c>
      <c r="Q20" s="421">
        <f t="shared" si="36"/>
        <v>0</v>
      </c>
      <c r="R20" s="421">
        <f t="shared" si="37"/>
        <v>108797.223333333</v>
      </c>
      <c r="S20" s="421">
        <f t="shared" si="38"/>
        <v>4945.32833333333</v>
      </c>
      <c r="T20" s="421">
        <f t="shared" si="39"/>
        <v>4945.32833333333</v>
      </c>
      <c r="U20" s="421">
        <f t="shared" si="14"/>
        <v>118687.88</v>
      </c>
      <c r="V20" s="422">
        <v>25</v>
      </c>
      <c r="W20" s="421">
        <f t="shared" si="15"/>
        <v>29671.97</v>
      </c>
      <c r="X20" s="421">
        <f t="shared" si="16"/>
        <v>148359.85</v>
      </c>
      <c r="Y20" s="154">
        <v>1</v>
      </c>
      <c r="Z20" s="421">
        <f t="shared" si="1"/>
        <v>245.791666666667</v>
      </c>
      <c r="AA20" s="366"/>
      <c r="AB20" s="401">
        <f t="shared" si="2"/>
        <v>0</v>
      </c>
      <c r="AC20" s="366"/>
      <c r="AD20" s="366">
        <f t="shared" si="40"/>
        <v>0</v>
      </c>
      <c r="AE20" s="154">
        <v>1.25</v>
      </c>
      <c r="AF20" s="401">
        <f t="shared" si="4"/>
        <v>245.791666666667</v>
      </c>
      <c r="AG20" s="154"/>
      <c r="AH20" s="449">
        <f t="shared" si="5"/>
        <v>0</v>
      </c>
      <c r="AI20" s="154"/>
      <c r="AJ20" s="421">
        <f t="shared" si="17"/>
        <v>0</v>
      </c>
      <c r="AK20" s="423">
        <f t="shared" si="18"/>
        <v>2.25</v>
      </c>
      <c r="AL20" s="421">
        <f t="shared" si="19"/>
        <v>491.583333333333</v>
      </c>
      <c r="AM20" s="154">
        <v>0.5</v>
      </c>
      <c r="AN20" s="401">
        <f t="shared" si="6"/>
        <v>2212.125</v>
      </c>
      <c r="AO20" s="366"/>
      <c r="AP20" s="402">
        <f t="shared" si="7"/>
        <v>0</v>
      </c>
      <c r="AQ20" s="366"/>
      <c r="AR20" s="401">
        <f t="shared" si="41"/>
        <v>0</v>
      </c>
      <c r="AS20" s="154"/>
      <c r="AT20" s="401">
        <f t="shared" si="21"/>
        <v>0</v>
      </c>
      <c r="AU20" s="422"/>
      <c r="AV20" s="401">
        <f t="shared" si="42"/>
        <v>0</v>
      </c>
      <c r="AW20" s="459"/>
      <c r="AX20" s="401">
        <f t="shared" si="23"/>
        <v>0</v>
      </c>
      <c r="AY20" s="154"/>
      <c r="AZ20" s="449">
        <f t="shared" si="24"/>
        <v>0</v>
      </c>
      <c r="BA20" s="366"/>
      <c r="BB20" s="401">
        <f t="shared" si="25"/>
        <v>0</v>
      </c>
      <c r="BC20" s="366"/>
      <c r="BD20" s="449">
        <f t="shared" si="32"/>
        <v>0</v>
      </c>
      <c r="BE20" s="401">
        <f t="shared" si="26"/>
        <v>11868.788</v>
      </c>
      <c r="BF20" s="362">
        <f t="shared" si="27"/>
        <v>14572.4963333333</v>
      </c>
      <c r="BG20" s="421">
        <f t="shared" si="28"/>
        <v>162932.346333333</v>
      </c>
      <c r="BH20" s="421">
        <f t="shared" si="29"/>
        <v>1955188.156</v>
      </c>
      <c r="BI20" s="105">
        <f t="shared" si="30"/>
        <v>1.33</v>
      </c>
      <c r="BJ20" s="430">
        <f t="shared" si="31"/>
        <v>147988.950375</v>
      </c>
    </row>
    <row r="21" ht="36.75" customHeight="1" spans="1:62">
      <c r="A21" s="82">
        <v>7</v>
      </c>
      <c r="B21" s="15" t="s">
        <v>85</v>
      </c>
      <c r="C21" s="15" t="s">
        <v>86</v>
      </c>
      <c r="D21" s="15" t="s">
        <v>59</v>
      </c>
      <c r="E21" s="136" t="s">
        <v>78</v>
      </c>
      <c r="F21" s="18" t="s">
        <v>87</v>
      </c>
      <c r="G21" s="180">
        <v>11.3</v>
      </c>
      <c r="H21" s="15">
        <v>4.86</v>
      </c>
      <c r="I21" s="105">
        <f t="shared" si="0"/>
        <v>1.53</v>
      </c>
      <c r="J21" s="109"/>
      <c r="K21" s="403"/>
      <c r="L21" s="434"/>
      <c r="M21" s="153">
        <v>20</v>
      </c>
      <c r="N21" s="154">
        <v>7.5</v>
      </c>
      <c r="O21" s="400">
        <f t="shared" si="34"/>
        <v>27.5</v>
      </c>
      <c r="P21" s="401">
        <f t="shared" si="35"/>
        <v>0</v>
      </c>
      <c r="Q21" s="421">
        <f t="shared" si="36"/>
        <v>0</v>
      </c>
      <c r="R21" s="421">
        <f t="shared" si="37"/>
        <v>0</v>
      </c>
      <c r="S21" s="421">
        <f t="shared" si="38"/>
        <v>95563.8</v>
      </c>
      <c r="T21" s="421">
        <f t="shared" si="39"/>
        <v>35836.425</v>
      </c>
      <c r="U21" s="421">
        <f t="shared" si="14"/>
        <v>131400.225</v>
      </c>
      <c r="V21" s="422">
        <v>25</v>
      </c>
      <c r="W21" s="421">
        <f t="shared" si="15"/>
        <v>32850.05625</v>
      </c>
      <c r="X21" s="421">
        <f t="shared" si="16"/>
        <v>164250.28125</v>
      </c>
      <c r="Y21" s="444"/>
      <c r="Z21" s="421">
        <f t="shared" si="1"/>
        <v>0</v>
      </c>
      <c r="AA21" s="444"/>
      <c r="AB21" s="401">
        <f t="shared" si="2"/>
        <v>0</v>
      </c>
      <c r="AC21" s="444"/>
      <c r="AD21" s="366">
        <f t="shared" si="40"/>
        <v>0</v>
      </c>
      <c r="AE21" s="154"/>
      <c r="AF21" s="401">
        <f t="shared" si="4"/>
        <v>0</v>
      </c>
      <c r="AG21" s="444"/>
      <c r="AH21" s="449">
        <f t="shared" si="5"/>
        <v>0</v>
      </c>
      <c r="AI21" s="444"/>
      <c r="AJ21" s="421">
        <f t="shared" si="17"/>
        <v>0</v>
      </c>
      <c r="AK21" s="423">
        <f t="shared" si="18"/>
        <v>0</v>
      </c>
      <c r="AL21" s="421">
        <f t="shared" si="19"/>
        <v>0</v>
      </c>
      <c r="AM21" s="154"/>
      <c r="AN21" s="401">
        <f t="shared" si="6"/>
        <v>0</v>
      </c>
      <c r="AO21" s="366"/>
      <c r="AP21" s="402">
        <f t="shared" si="7"/>
        <v>0</v>
      </c>
      <c r="AQ21" s="366"/>
      <c r="AR21" s="401">
        <f t="shared" si="41"/>
        <v>0</v>
      </c>
      <c r="AS21" s="154"/>
      <c r="AT21" s="401">
        <f t="shared" si="21"/>
        <v>0</v>
      </c>
      <c r="AU21" s="422"/>
      <c r="AV21" s="401">
        <f t="shared" si="42"/>
        <v>0</v>
      </c>
      <c r="AW21" s="459"/>
      <c r="AX21" s="401">
        <f t="shared" si="23"/>
        <v>0</v>
      </c>
      <c r="AY21" s="154"/>
      <c r="AZ21" s="449">
        <f t="shared" si="24"/>
        <v>0</v>
      </c>
      <c r="BA21" s="366"/>
      <c r="BB21" s="401">
        <f t="shared" si="25"/>
        <v>0</v>
      </c>
      <c r="BC21" s="366"/>
      <c r="BD21" s="449">
        <f t="shared" si="32"/>
        <v>0</v>
      </c>
      <c r="BE21" s="401">
        <f t="shared" si="26"/>
        <v>13140.0225</v>
      </c>
      <c r="BF21" s="362">
        <f t="shared" si="27"/>
        <v>13140.0225</v>
      </c>
      <c r="BG21" s="421">
        <f t="shared" si="28"/>
        <v>177390.30375</v>
      </c>
      <c r="BH21" s="421">
        <f t="shared" si="29"/>
        <v>2128683.645</v>
      </c>
      <c r="BI21" s="105">
        <f t="shared" si="30"/>
        <v>1.53</v>
      </c>
      <c r="BJ21" s="430">
        <f t="shared" si="31"/>
        <v>164489.19075</v>
      </c>
    </row>
    <row r="22" ht="31.5" customHeight="1" spans="1:62">
      <c r="A22" s="82">
        <v>9</v>
      </c>
      <c r="B22" s="15" t="s">
        <v>88</v>
      </c>
      <c r="C22" s="15" t="s">
        <v>89</v>
      </c>
      <c r="D22" s="15" t="s">
        <v>59</v>
      </c>
      <c r="E22" s="136" t="s">
        <v>78</v>
      </c>
      <c r="F22" s="18" t="s">
        <v>87</v>
      </c>
      <c r="G22" s="86">
        <v>17.1</v>
      </c>
      <c r="H22" s="15">
        <v>5.03</v>
      </c>
      <c r="I22" s="105">
        <f t="shared" si="0"/>
        <v>0.78</v>
      </c>
      <c r="J22" s="109"/>
      <c r="K22" s="48"/>
      <c r="L22" s="434"/>
      <c r="M22" s="153">
        <v>11</v>
      </c>
      <c r="N22" s="154">
        <v>3</v>
      </c>
      <c r="O22" s="400">
        <f t="shared" si="34"/>
        <v>14</v>
      </c>
      <c r="P22" s="401">
        <f t="shared" si="35"/>
        <v>0</v>
      </c>
      <c r="Q22" s="421">
        <f t="shared" si="36"/>
        <v>0</v>
      </c>
      <c r="R22" s="421">
        <f t="shared" si="37"/>
        <v>0</v>
      </c>
      <c r="S22" s="421">
        <f t="shared" si="38"/>
        <v>54398.6116666667</v>
      </c>
      <c r="T22" s="421">
        <f t="shared" si="39"/>
        <v>14835.985</v>
      </c>
      <c r="U22" s="421">
        <f t="shared" si="14"/>
        <v>69234.5966666667</v>
      </c>
      <c r="V22" s="422">
        <v>25</v>
      </c>
      <c r="W22" s="421">
        <f t="shared" si="15"/>
        <v>17308.6491666667</v>
      </c>
      <c r="X22" s="421">
        <f t="shared" si="16"/>
        <v>86543.2458333333</v>
      </c>
      <c r="Y22" s="444"/>
      <c r="Z22" s="421">
        <f t="shared" si="1"/>
        <v>0</v>
      </c>
      <c r="AA22" s="444"/>
      <c r="AB22" s="401">
        <f t="shared" si="2"/>
        <v>0</v>
      </c>
      <c r="AC22" s="444"/>
      <c r="AD22" s="366">
        <f t="shared" si="40"/>
        <v>0</v>
      </c>
      <c r="AE22" s="154"/>
      <c r="AF22" s="401">
        <f t="shared" si="4"/>
        <v>0</v>
      </c>
      <c r="AG22" s="448">
        <v>2</v>
      </c>
      <c r="AH22" s="449">
        <f t="shared" si="5"/>
        <v>393.266666666667</v>
      </c>
      <c r="AI22" s="448">
        <v>0.5</v>
      </c>
      <c r="AJ22" s="421">
        <f t="shared" si="17"/>
        <v>98.3166666666667</v>
      </c>
      <c r="AK22" s="423">
        <f t="shared" si="18"/>
        <v>2.5</v>
      </c>
      <c r="AL22" s="421">
        <f t="shared" si="19"/>
        <v>491.583333333333</v>
      </c>
      <c r="AM22" s="154"/>
      <c r="AN22" s="401"/>
      <c r="AO22" s="366"/>
      <c r="AP22" s="402">
        <f t="shared" si="7"/>
        <v>0</v>
      </c>
      <c r="AQ22" s="366"/>
      <c r="AR22" s="401"/>
      <c r="AS22" s="154"/>
      <c r="AT22" s="401">
        <f t="shared" si="21"/>
        <v>0</v>
      </c>
      <c r="AU22" s="422"/>
      <c r="AV22" s="401">
        <f t="shared" si="42"/>
        <v>0</v>
      </c>
      <c r="AW22" s="459"/>
      <c r="AX22" s="401">
        <f t="shared" si="23"/>
        <v>0</v>
      </c>
      <c r="AY22" s="154"/>
      <c r="AZ22" s="449">
        <f t="shared" si="24"/>
        <v>0</v>
      </c>
      <c r="BA22" s="366"/>
      <c r="BB22" s="401">
        <f t="shared" si="25"/>
        <v>0</v>
      </c>
      <c r="BC22" s="366">
        <v>50</v>
      </c>
      <c r="BD22" s="449">
        <f t="shared" si="32"/>
        <v>1769.7</v>
      </c>
      <c r="BE22" s="401">
        <f t="shared" si="26"/>
        <v>6923.45966666667</v>
      </c>
      <c r="BF22" s="362">
        <f t="shared" si="27"/>
        <v>9184.743</v>
      </c>
      <c r="BG22" s="421">
        <f t="shared" si="28"/>
        <v>95727.9888333333</v>
      </c>
      <c r="BH22" s="421">
        <f t="shared" si="29"/>
        <v>1148735.866</v>
      </c>
      <c r="BI22" s="105">
        <f t="shared" si="30"/>
        <v>0.78</v>
      </c>
      <c r="BJ22" s="430">
        <f t="shared" si="31"/>
        <v>86790.51225</v>
      </c>
    </row>
    <row r="23" ht="36" customHeight="1" spans="1:62">
      <c r="A23" s="82">
        <v>10</v>
      </c>
      <c r="B23" s="15" t="s">
        <v>90</v>
      </c>
      <c r="C23" s="15" t="s">
        <v>91</v>
      </c>
      <c r="D23" s="15" t="s">
        <v>59</v>
      </c>
      <c r="E23" s="136" t="s">
        <v>78</v>
      </c>
      <c r="F23" s="18" t="s">
        <v>87</v>
      </c>
      <c r="G23" s="86">
        <v>17</v>
      </c>
      <c r="H23" s="15">
        <v>5.03</v>
      </c>
      <c r="I23" s="105">
        <f t="shared" si="0"/>
        <v>0.61</v>
      </c>
      <c r="J23" s="109"/>
      <c r="K23" s="48"/>
      <c r="L23" s="434"/>
      <c r="M23" s="435">
        <v>7</v>
      </c>
      <c r="N23" s="154">
        <v>4</v>
      </c>
      <c r="O23" s="400">
        <f t="shared" si="34"/>
        <v>11</v>
      </c>
      <c r="P23" s="401">
        <f t="shared" si="35"/>
        <v>0</v>
      </c>
      <c r="Q23" s="421">
        <f t="shared" si="36"/>
        <v>0</v>
      </c>
      <c r="R23" s="421">
        <f t="shared" si="37"/>
        <v>0</v>
      </c>
      <c r="S23" s="421">
        <f t="shared" si="38"/>
        <v>34617.2983333333</v>
      </c>
      <c r="T23" s="421">
        <f t="shared" si="39"/>
        <v>19781.3133333333</v>
      </c>
      <c r="U23" s="421">
        <f t="shared" si="14"/>
        <v>54398.6116666667</v>
      </c>
      <c r="V23" s="422">
        <v>25</v>
      </c>
      <c r="W23" s="421">
        <f t="shared" si="15"/>
        <v>13599.6529166667</v>
      </c>
      <c r="X23" s="421">
        <f t="shared" si="16"/>
        <v>67998.2645833333</v>
      </c>
      <c r="Y23" s="444"/>
      <c r="Z23" s="421">
        <f t="shared" si="1"/>
        <v>0</v>
      </c>
      <c r="AA23" s="444"/>
      <c r="AB23" s="401">
        <f t="shared" si="2"/>
        <v>0</v>
      </c>
      <c r="AC23" s="444"/>
      <c r="AD23" s="366">
        <f t="shared" si="40"/>
        <v>0</v>
      </c>
      <c r="AE23" s="154"/>
      <c r="AF23" s="401">
        <f t="shared" si="4"/>
        <v>0</v>
      </c>
      <c r="AG23" s="445"/>
      <c r="AH23" s="449">
        <f t="shared" si="5"/>
        <v>0</v>
      </c>
      <c r="AI23" s="445"/>
      <c r="AJ23" s="421">
        <f t="shared" si="17"/>
        <v>0</v>
      </c>
      <c r="AK23" s="423">
        <f t="shared" si="18"/>
        <v>0</v>
      </c>
      <c r="AL23" s="421">
        <f t="shared" si="19"/>
        <v>0</v>
      </c>
      <c r="AM23" s="154"/>
      <c r="AN23" s="401"/>
      <c r="AO23" s="366"/>
      <c r="AP23" s="402">
        <f t="shared" si="7"/>
        <v>0</v>
      </c>
      <c r="AQ23" s="366"/>
      <c r="AR23" s="401"/>
      <c r="AS23" s="154"/>
      <c r="AT23" s="401">
        <f t="shared" si="21"/>
        <v>0</v>
      </c>
      <c r="AU23" s="422"/>
      <c r="AV23" s="401">
        <f t="shared" si="42"/>
        <v>0</v>
      </c>
      <c r="AW23" s="459"/>
      <c r="AX23" s="401">
        <f t="shared" si="23"/>
        <v>0</v>
      </c>
      <c r="AY23" s="154"/>
      <c r="AZ23" s="449">
        <f t="shared" si="24"/>
        <v>0</v>
      </c>
      <c r="BA23" s="366"/>
      <c r="BB23" s="401">
        <f t="shared" si="25"/>
        <v>0</v>
      </c>
      <c r="BC23" s="366"/>
      <c r="BD23" s="449">
        <f t="shared" si="32"/>
        <v>0</v>
      </c>
      <c r="BE23" s="401">
        <f t="shared" si="26"/>
        <v>5439.86116666667</v>
      </c>
      <c r="BF23" s="362">
        <f t="shared" si="27"/>
        <v>5439.86116666667</v>
      </c>
      <c r="BG23" s="421">
        <f t="shared" si="28"/>
        <v>73438.12575</v>
      </c>
      <c r="BH23" s="421">
        <f t="shared" si="29"/>
        <v>881257.509</v>
      </c>
      <c r="BI23" s="105">
        <f t="shared" si="30"/>
        <v>0.61</v>
      </c>
      <c r="BJ23" s="430">
        <f t="shared" si="31"/>
        <v>67874.631375</v>
      </c>
    </row>
    <row r="24" ht="36" customHeight="1" spans="1:62">
      <c r="A24" s="82">
        <v>11</v>
      </c>
      <c r="B24" s="15" t="s">
        <v>92</v>
      </c>
      <c r="C24" s="15" t="s">
        <v>93</v>
      </c>
      <c r="D24" s="15" t="s">
        <v>59</v>
      </c>
      <c r="E24" s="136" t="s">
        <v>78</v>
      </c>
      <c r="F24" s="18" t="s">
        <v>87</v>
      </c>
      <c r="G24" s="86">
        <v>25.5</v>
      </c>
      <c r="H24" s="180">
        <v>5.2</v>
      </c>
      <c r="I24" s="105">
        <f t="shared" si="0"/>
        <v>0.61</v>
      </c>
      <c r="J24" s="109"/>
      <c r="K24" s="48"/>
      <c r="L24" s="434"/>
      <c r="M24" s="153">
        <v>11</v>
      </c>
      <c r="N24" s="154"/>
      <c r="O24" s="400">
        <f t="shared" si="34"/>
        <v>11</v>
      </c>
      <c r="P24" s="401">
        <f t="shared" si="35"/>
        <v>0</v>
      </c>
      <c r="Q24" s="421">
        <f t="shared" si="36"/>
        <v>0</v>
      </c>
      <c r="R24" s="421">
        <f t="shared" si="37"/>
        <v>0</v>
      </c>
      <c r="S24" s="421">
        <f t="shared" si="38"/>
        <v>56237.1333333333</v>
      </c>
      <c r="T24" s="421">
        <f t="shared" si="39"/>
        <v>0</v>
      </c>
      <c r="U24" s="421">
        <f t="shared" si="14"/>
        <v>56237.1333333333</v>
      </c>
      <c r="V24" s="422">
        <v>25</v>
      </c>
      <c r="W24" s="421">
        <f t="shared" si="15"/>
        <v>14059.2833333333</v>
      </c>
      <c r="X24" s="421">
        <f t="shared" si="16"/>
        <v>70296.4166666667</v>
      </c>
      <c r="Y24" s="444"/>
      <c r="Z24" s="421">
        <f t="shared" si="1"/>
        <v>0</v>
      </c>
      <c r="AA24" s="444"/>
      <c r="AB24" s="401">
        <f t="shared" si="2"/>
        <v>0</v>
      </c>
      <c r="AC24" s="444"/>
      <c r="AD24" s="366">
        <f t="shared" si="40"/>
        <v>0</v>
      </c>
      <c r="AE24" s="154"/>
      <c r="AF24" s="401">
        <f t="shared" si="4"/>
        <v>0</v>
      </c>
      <c r="AG24" s="445"/>
      <c r="AH24" s="449">
        <f t="shared" si="5"/>
        <v>0</v>
      </c>
      <c r="AI24" s="445"/>
      <c r="AJ24" s="421">
        <f t="shared" si="17"/>
        <v>0</v>
      </c>
      <c r="AK24" s="423">
        <f t="shared" si="18"/>
        <v>0</v>
      </c>
      <c r="AL24" s="421">
        <f t="shared" si="19"/>
        <v>0</v>
      </c>
      <c r="AM24" s="154"/>
      <c r="AN24" s="401"/>
      <c r="AO24" s="366"/>
      <c r="AP24" s="402">
        <f t="shared" si="7"/>
        <v>0</v>
      </c>
      <c r="AQ24" s="366"/>
      <c r="AR24" s="401"/>
      <c r="AS24" s="154"/>
      <c r="AT24" s="401">
        <f t="shared" si="21"/>
        <v>0</v>
      </c>
      <c r="AU24" s="422"/>
      <c r="AV24" s="401">
        <f t="shared" si="42"/>
        <v>0</v>
      </c>
      <c r="AW24" s="459">
        <v>9</v>
      </c>
      <c r="AX24" s="401">
        <f t="shared" si="23"/>
        <v>13803.66</v>
      </c>
      <c r="AY24" s="154"/>
      <c r="AZ24" s="449">
        <f t="shared" si="24"/>
        <v>0</v>
      </c>
      <c r="BA24" s="366"/>
      <c r="BB24" s="401">
        <f t="shared" si="25"/>
        <v>0</v>
      </c>
      <c r="BC24" s="366"/>
      <c r="BD24" s="449">
        <f t="shared" si="32"/>
        <v>0</v>
      </c>
      <c r="BE24" s="401">
        <f t="shared" si="26"/>
        <v>5623.71333333333</v>
      </c>
      <c r="BF24" s="362">
        <f t="shared" si="27"/>
        <v>19427.3733333333</v>
      </c>
      <c r="BG24" s="421">
        <f t="shared" si="28"/>
        <v>89723.79</v>
      </c>
      <c r="BH24" s="421">
        <f t="shared" si="29"/>
        <v>1076685.48</v>
      </c>
      <c r="BI24" s="105">
        <f t="shared" si="30"/>
        <v>0.61</v>
      </c>
      <c r="BJ24" s="430">
        <f t="shared" si="31"/>
        <v>70168.605</v>
      </c>
    </row>
    <row r="25" ht="36" customHeight="1" spans="1:62">
      <c r="A25" s="82">
        <v>12</v>
      </c>
      <c r="B25" s="15" t="s">
        <v>94</v>
      </c>
      <c r="C25" s="15" t="s">
        <v>68</v>
      </c>
      <c r="D25" s="15" t="s">
        <v>59</v>
      </c>
      <c r="E25" s="136" t="s">
        <v>78</v>
      </c>
      <c r="F25" s="18">
        <v>1</v>
      </c>
      <c r="G25" s="86">
        <v>35.4</v>
      </c>
      <c r="H25" s="180">
        <v>5.2</v>
      </c>
      <c r="I25" s="105">
        <f t="shared" si="0"/>
        <v>0.61</v>
      </c>
      <c r="J25" s="109"/>
      <c r="K25" s="48"/>
      <c r="L25" s="434"/>
      <c r="M25" s="153">
        <v>5</v>
      </c>
      <c r="N25" s="154">
        <v>6</v>
      </c>
      <c r="O25" s="400">
        <f t="shared" si="34"/>
        <v>11</v>
      </c>
      <c r="P25" s="401">
        <f t="shared" si="35"/>
        <v>0</v>
      </c>
      <c r="Q25" s="421">
        <f t="shared" si="36"/>
        <v>0</v>
      </c>
      <c r="R25" s="421">
        <f t="shared" si="37"/>
        <v>0</v>
      </c>
      <c r="S25" s="421">
        <f t="shared" si="38"/>
        <v>25562.3333333333</v>
      </c>
      <c r="T25" s="421">
        <f t="shared" si="39"/>
        <v>30674.8</v>
      </c>
      <c r="U25" s="421">
        <f t="shared" si="14"/>
        <v>56237.1333333333</v>
      </c>
      <c r="V25" s="422">
        <v>25</v>
      </c>
      <c r="W25" s="421">
        <f t="shared" si="15"/>
        <v>14059.2833333333</v>
      </c>
      <c r="X25" s="421">
        <f t="shared" si="16"/>
        <v>70296.4166666667</v>
      </c>
      <c r="Y25" s="444"/>
      <c r="Z25" s="421">
        <f t="shared" si="1"/>
        <v>0</v>
      </c>
      <c r="AA25" s="444"/>
      <c r="AB25" s="401">
        <f t="shared" si="2"/>
        <v>0</v>
      </c>
      <c r="AC25" s="444"/>
      <c r="AD25" s="366">
        <f t="shared" si="40"/>
        <v>0</v>
      </c>
      <c r="AE25" s="445"/>
      <c r="AF25" s="401">
        <f t="shared" si="4"/>
        <v>0</v>
      </c>
      <c r="AG25" s="421">
        <v>2.5</v>
      </c>
      <c r="AH25" s="449">
        <f t="shared" si="5"/>
        <v>491.583333333333</v>
      </c>
      <c r="AI25" s="452">
        <v>0.75</v>
      </c>
      <c r="AJ25" s="421">
        <f t="shared" si="17"/>
        <v>147.475</v>
      </c>
      <c r="AK25" s="423">
        <f t="shared" si="18"/>
        <v>3.25</v>
      </c>
      <c r="AL25" s="421">
        <f t="shared" si="19"/>
        <v>639.058333333333</v>
      </c>
      <c r="AM25" s="154"/>
      <c r="AN25" s="401"/>
      <c r="AO25" s="366">
        <v>0.5</v>
      </c>
      <c r="AP25" s="402">
        <f t="shared" si="7"/>
        <v>2654.55</v>
      </c>
      <c r="AQ25" s="366"/>
      <c r="AR25" s="401"/>
      <c r="AS25" s="154"/>
      <c r="AT25" s="401">
        <f t="shared" si="21"/>
        <v>0</v>
      </c>
      <c r="AU25" s="422"/>
      <c r="AV25" s="401">
        <f t="shared" si="42"/>
        <v>0</v>
      </c>
      <c r="AW25" s="459"/>
      <c r="AX25" s="401">
        <f t="shared" si="23"/>
        <v>0</v>
      </c>
      <c r="AY25" s="154"/>
      <c r="AZ25" s="449">
        <f t="shared" si="24"/>
        <v>0</v>
      </c>
      <c r="BA25" s="366"/>
      <c r="BB25" s="401">
        <f t="shared" si="25"/>
        <v>0</v>
      </c>
      <c r="BC25" s="366"/>
      <c r="BD25" s="449">
        <f t="shared" si="32"/>
        <v>0</v>
      </c>
      <c r="BE25" s="401">
        <f t="shared" si="26"/>
        <v>5623.71333333333</v>
      </c>
      <c r="BF25" s="362">
        <f t="shared" si="27"/>
        <v>8917.32166666667</v>
      </c>
      <c r="BG25" s="421">
        <f t="shared" si="28"/>
        <v>79213.7383333333</v>
      </c>
      <c r="BH25" s="421">
        <f t="shared" si="29"/>
        <v>950564.86</v>
      </c>
      <c r="BI25" s="105">
        <f t="shared" si="30"/>
        <v>0.61</v>
      </c>
      <c r="BJ25" s="430">
        <f t="shared" si="31"/>
        <v>70168.605</v>
      </c>
    </row>
    <row r="26" ht="36" customHeight="1" spans="1:62">
      <c r="A26" s="82">
        <v>13</v>
      </c>
      <c r="B26" s="15" t="s">
        <v>95</v>
      </c>
      <c r="C26" s="15" t="s">
        <v>58</v>
      </c>
      <c r="D26" s="15" t="s">
        <v>59</v>
      </c>
      <c r="E26" s="136" t="s">
        <v>78</v>
      </c>
      <c r="F26" s="18" t="s">
        <v>80</v>
      </c>
      <c r="G26" s="86">
        <v>8.8</v>
      </c>
      <c r="H26" s="15">
        <v>4.79</v>
      </c>
      <c r="I26" s="105">
        <f t="shared" si="0"/>
        <v>1.06</v>
      </c>
      <c r="J26" s="109"/>
      <c r="K26" s="48"/>
      <c r="L26" s="434">
        <v>19</v>
      </c>
      <c r="M26" s="153"/>
      <c r="N26" s="154"/>
      <c r="O26" s="400">
        <f t="shared" si="34"/>
        <v>19</v>
      </c>
      <c r="P26" s="401">
        <f t="shared" si="35"/>
        <v>0</v>
      </c>
      <c r="Q26" s="421">
        <f t="shared" si="36"/>
        <v>0</v>
      </c>
      <c r="R26" s="421">
        <f t="shared" si="37"/>
        <v>89477.9983333333</v>
      </c>
      <c r="S26" s="421">
        <f t="shared" si="38"/>
        <v>0</v>
      </c>
      <c r="T26" s="421">
        <f t="shared" si="39"/>
        <v>0</v>
      </c>
      <c r="U26" s="421">
        <f t="shared" si="14"/>
        <v>89477.9983333333</v>
      </c>
      <c r="V26" s="422">
        <v>25</v>
      </c>
      <c r="W26" s="421">
        <f t="shared" si="15"/>
        <v>22369.4995833333</v>
      </c>
      <c r="X26" s="421">
        <f t="shared" si="16"/>
        <v>111847.497916667</v>
      </c>
      <c r="Y26" s="48">
        <v>1</v>
      </c>
      <c r="Z26" s="421">
        <f t="shared" si="1"/>
        <v>245.791666666667</v>
      </c>
      <c r="AA26" s="48"/>
      <c r="AB26" s="401">
        <f t="shared" si="2"/>
        <v>0</v>
      </c>
      <c r="AC26" s="48"/>
      <c r="AD26" s="366">
        <f t="shared" si="40"/>
        <v>0</v>
      </c>
      <c r="AE26" s="105">
        <v>1</v>
      </c>
      <c r="AF26" s="401">
        <f t="shared" si="4"/>
        <v>196.633333333333</v>
      </c>
      <c r="AG26" s="453"/>
      <c r="AH26" s="449">
        <f t="shared" si="5"/>
        <v>0</v>
      </c>
      <c r="AI26" s="105"/>
      <c r="AJ26" s="421">
        <f t="shared" si="17"/>
        <v>0</v>
      </c>
      <c r="AK26" s="423">
        <f t="shared" si="18"/>
        <v>2</v>
      </c>
      <c r="AL26" s="421">
        <f t="shared" si="19"/>
        <v>442.425</v>
      </c>
      <c r="AM26" s="48">
        <v>0.5</v>
      </c>
      <c r="AN26" s="401">
        <f>SUM($H$4*0.25)*AM26</f>
        <v>2212.125</v>
      </c>
      <c r="AO26" s="48"/>
      <c r="AP26" s="402">
        <f t="shared" si="7"/>
        <v>0</v>
      </c>
      <c r="AQ26" s="48"/>
      <c r="AR26" s="401">
        <f>SUM($H$4*0.2*AQ26)</f>
        <v>0</v>
      </c>
      <c r="AS26" s="154"/>
      <c r="AT26" s="401">
        <f t="shared" si="21"/>
        <v>0</v>
      </c>
      <c r="AU26" s="422"/>
      <c r="AV26" s="401">
        <f t="shared" si="42"/>
        <v>0</v>
      </c>
      <c r="AW26" s="459"/>
      <c r="AX26" s="401">
        <f t="shared" si="23"/>
        <v>0</v>
      </c>
      <c r="AY26" s="154"/>
      <c r="AZ26" s="449">
        <f t="shared" si="24"/>
        <v>0</v>
      </c>
      <c r="BA26" s="366"/>
      <c r="BB26" s="401">
        <f t="shared" si="25"/>
        <v>0</v>
      </c>
      <c r="BC26" s="366"/>
      <c r="BD26" s="449">
        <f t="shared" si="32"/>
        <v>0</v>
      </c>
      <c r="BE26" s="401">
        <f t="shared" si="26"/>
        <v>8947.79983333333</v>
      </c>
      <c r="BF26" s="362">
        <f t="shared" si="27"/>
        <v>11602.3498333333</v>
      </c>
      <c r="BG26" s="421">
        <f t="shared" si="28"/>
        <v>123449.84775</v>
      </c>
      <c r="BH26" s="421">
        <f t="shared" si="29"/>
        <v>1481398.173</v>
      </c>
      <c r="BI26" s="105">
        <f t="shared" si="30"/>
        <v>1.06</v>
      </c>
      <c r="BJ26" s="430">
        <f t="shared" si="31"/>
        <v>112318.43475</v>
      </c>
    </row>
    <row r="27" ht="36" customHeight="1" spans="1:62">
      <c r="A27" s="82">
        <v>14</v>
      </c>
      <c r="B27" s="15" t="s">
        <v>96</v>
      </c>
      <c r="C27" s="15" t="s">
        <v>97</v>
      </c>
      <c r="D27" s="15" t="s">
        <v>59</v>
      </c>
      <c r="E27" s="136" t="s">
        <v>78</v>
      </c>
      <c r="F27" s="18" t="s">
        <v>98</v>
      </c>
      <c r="G27" s="146">
        <v>11.8</v>
      </c>
      <c r="H27" s="15">
        <v>4.86</v>
      </c>
      <c r="I27" s="105">
        <f t="shared" si="0"/>
        <v>1.06</v>
      </c>
      <c r="J27" s="109"/>
      <c r="K27" s="403"/>
      <c r="L27" s="434">
        <v>19</v>
      </c>
      <c r="M27" s="153"/>
      <c r="N27" s="154"/>
      <c r="O27" s="400">
        <f t="shared" si="34"/>
        <v>19</v>
      </c>
      <c r="P27" s="401">
        <f t="shared" si="35"/>
        <v>0</v>
      </c>
      <c r="Q27" s="421">
        <f t="shared" si="36"/>
        <v>0</v>
      </c>
      <c r="R27" s="421">
        <f t="shared" si="37"/>
        <v>90785.61</v>
      </c>
      <c r="S27" s="421">
        <f t="shared" si="38"/>
        <v>0</v>
      </c>
      <c r="T27" s="421">
        <f t="shared" si="39"/>
        <v>0</v>
      </c>
      <c r="U27" s="421">
        <f t="shared" si="14"/>
        <v>90785.61</v>
      </c>
      <c r="V27" s="422">
        <v>25</v>
      </c>
      <c r="W27" s="421">
        <f t="shared" si="15"/>
        <v>22696.4025</v>
      </c>
      <c r="X27" s="421">
        <f t="shared" si="16"/>
        <v>113482.0125</v>
      </c>
      <c r="Y27" s="444">
        <v>1</v>
      </c>
      <c r="Z27" s="421">
        <f t="shared" si="1"/>
        <v>245.791666666667</v>
      </c>
      <c r="AA27" s="444"/>
      <c r="AB27" s="401">
        <f t="shared" si="2"/>
        <v>0</v>
      </c>
      <c r="AC27" s="444"/>
      <c r="AD27" s="366">
        <f t="shared" si="40"/>
        <v>0</v>
      </c>
      <c r="AE27" s="421">
        <v>1</v>
      </c>
      <c r="AF27" s="401">
        <f t="shared" si="4"/>
        <v>196.633333333333</v>
      </c>
      <c r="AG27" s="444"/>
      <c r="AH27" s="449">
        <f t="shared" si="5"/>
        <v>0</v>
      </c>
      <c r="AI27" s="444"/>
      <c r="AJ27" s="421">
        <f t="shared" si="17"/>
        <v>0</v>
      </c>
      <c r="AK27" s="423">
        <f t="shared" si="18"/>
        <v>2</v>
      </c>
      <c r="AL27" s="421">
        <f t="shared" si="19"/>
        <v>442.425</v>
      </c>
      <c r="AM27" s="154">
        <v>0.5</v>
      </c>
      <c r="AN27" s="401">
        <f t="shared" si="6"/>
        <v>2212.125</v>
      </c>
      <c r="AO27" s="366"/>
      <c r="AP27" s="402">
        <f t="shared" si="7"/>
        <v>0</v>
      </c>
      <c r="AQ27" s="366"/>
      <c r="AR27" s="401">
        <f t="shared" si="41"/>
        <v>0</v>
      </c>
      <c r="AS27" s="154"/>
      <c r="AT27" s="401">
        <f t="shared" si="21"/>
        <v>0</v>
      </c>
      <c r="AU27" s="422"/>
      <c r="AV27" s="401">
        <f t="shared" si="42"/>
        <v>0</v>
      </c>
      <c r="AW27" s="459">
        <v>16</v>
      </c>
      <c r="AX27" s="401">
        <f t="shared" si="23"/>
        <v>22935.312</v>
      </c>
      <c r="AY27" s="154"/>
      <c r="AZ27" s="449">
        <f t="shared" si="24"/>
        <v>0</v>
      </c>
      <c r="BA27" s="366"/>
      <c r="BB27" s="401">
        <f t="shared" si="25"/>
        <v>0</v>
      </c>
      <c r="BC27" s="366"/>
      <c r="BD27" s="449">
        <f t="shared" si="32"/>
        <v>0</v>
      </c>
      <c r="BE27" s="401">
        <f t="shared" si="26"/>
        <v>9078.561</v>
      </c>
      <c r="BF27" s="362">
        <f t="shared" si="27"/>
        <v>34668.423</v>
      </c>
      <c r="BG27" s="421">
        <f t="shared" si="28"/>
        <v>148150.4355</v>
      </c>
      <c r="BH27" s="421">
        <f t="shared" si="29"/>
        <v>1777805.226</v>
      </c>
      <c r="BI27" s="105">
        <f t="shared" si="30"/>
        <v>1.06</v>
      </c>
      <c r="BJ27" s="430">
        <f t="shared" si="31"/>
        <v>113959.8315</v>
      </c>
    </row>
    <row r="28" ht="36" customHeight="1" spans="1:62">
      <c r="A28" s="358"/>
      <c r="B28" s="48" t="s">
        <v>99</v>
      </c>
      <c r="C28" s="15"/>
      <c r="D28" s="15"/>
      <c r="E28" s="136"/>
      <c r="F28" s="18"/>
      <c r="G28" s="180"/>
      <c r="H28" s="15"/>
      <c r="I28" s="48">
        <f t="shared" ref="I28:AN28" si="54">SUM(I16:I27)</f>
        <v>10.81</v>
      </c>
      <c r="J28" s="48">
        <f t="shared" si="54"/>
        <v>0</v>
      </c>
      <c r="K28" s="48">
        <f t="shared" si="54"/>
        <v>0</v>
      </c>
      <c r="L28" s="48">
        <f t="shared" si="54"/>
        <v>68</v>
      </c>
      <c r="M28" s="48">
        <f t="shared" si="54"/>
        <v>94</v>
      </c>
      <c r="N28" s="48">
        <f t="shared" si="54"/>
        <v>32.5</v>
      </c>
      <c r="O28" s="48">
        <f t="shared" si="54"/>
        <v>194.5</v>
      </c>
      <c r="P28" s="48">
        <f t="shared" si="54"/>
        <v>0</v>
      </c>
      <c r="Q28" s="48">
        <f t="shared" si="54"/>
        <v>0</v>
      </c>
      <c r="R28" s="48">
        <f t="shared" si="54"/>
        <v>329960.565</v>
      </c>
      <c r="S28" s="48">
        <f t="shared" si="54"/>
        <v>468252.788333333</v>
      </c>
      <c r="T28" s="48">
        <f t="shared" si="54"/>
        <v>161082.026666667</v>
      </c>
      <c r="U28" s="48">
        <f t="shared" si="54"/>
        <v>959295.38</v>
      </c>
      <c r="V28" s="48">
        <f t="shared" si="54"/>
        <v>300</v>
      </c>
      <c r="W28" s="48">
        <f t="shared" si="54"/>
        <v>239823.845</v>
      </c>
      <c r="X28" s="48">
        <f t="shared" si="54"/>
        <v>1199119.225</v>
      </c>
      <c r="Y28" s="48">
        <f t="shared" si="54"/>
        <v>4.5</v>
      </c>
      <c r="Z28" s="48">
        <f t="shared" si="54"/>
        <v>1106.0625</v>
      </c>
      <c r="AA28" s="48">
        <f t="shared" si="54"/>
        <v>7.5</v>
      </c>
      <c r="AB28" s="48">
        <f t="shared" si="54"/>
        <v>1843.4375</v>
      </c>
      <c r="AC28" s="48">
        <f t="shared" si="54"/>
        <v>1.625</v>
      </c>
      <c r="AD28" s="48">
        <f t="shared" si="54"/>
        <v>399.411458333333</v>
      </c>
      <c r="AE28" s="48">
        <f t="shared" si="54"/>
        <v>3.25</v>
      </c>
      <c r="AF28" s="48">
        <f t="shared" si="54"/>
        <v>639.058333333333</v>
      </c>
      <c r="AG28" s="48">
        <f t="shared" si="54"/>
        <v>97.046875</v>
      </c>
      <c r="AH28" s="48">
        <f t="shared" si="54"/>
        <v>1069.56875</v>
      </c>
      <c r="AI28" s="48">
        <f t="shared" si="54"/>
        <v>278.515625</v>
      </c>
      <c r="AJ28" s="48">
        <f t="shared" si="54"/>
        <v>54765.4557291667</v>
      </c>
      <c r="AK28" s="48">
        <f t="shared" si="54"/>
        <v>392.4375</v>
      </c>
      <c r="AL28" s="48">
        <f t="shared" si="54"/>
        <v>59822.9942708333</v>
      </c>
      <c r="AM28" s="48">
        <f t="shared" si="54"/>
        <v>1.5</v>
      </c>
      <c r="AN28" s="48">
        <f t="shared" si="54"/>
        <v>6636.375</v>
      </c>
      <c r="AO28" s="48">
        <f t="shared" ref="AO28:BH28" si="55">SUM(AO16:AO27)</f>
        <v>1</v>
      </c>
      <c r="AP28" s="48">
        <f t="shared" si="55"/>
        <v>5309.1</v>
      </c>
      <c r="AQ28" s="48">
        <f t="shared" si="55"/>
        <v>0</v>
      </c>
      <c r="AR28" s="48">
        <f t="shared" si="55"/>
        <v>0</v>
      </c>
      <c r="AS28" s="48">
        <f t="shared" si="55"/>
        <v>0</v>
      </c>
      <c r="AT28" s="48">
        <f t="shared" si="55"/>
        <v>0</v>
      </c>
      <c r="AU28" s="48">
        <f t="shared" si="55"/>
        <v>0</v>
      </c>
      <c r="AV28" s="48">
        <f t="shared" si="55"/>
        <v>0</v>
      </c>
      <c r="AW28" s="48">
        <f t="shared" si="55"/>
        <v>25</v>
      </c>
      <c r="AX28" s="48">
        <f t="shared" si="55"/>
        <v>36738.972</v>
      </c>
      <c r="AY28" s="48">
        <f t="shared" si="55"/>
        <v>0</v>
      </c>
      <c r="AZ28" s="48">
        <f t="shared" si="55"/>
        <v>0</v>
      </c>
      <c r="BA28" s="48">
        <f t="shared" si="55"/>
        <v>0</v>
      </c>
      <c r="BB28" s="48">
        <f t="shared" si="55"/>
        <v>0</v>
      </c>
      <c r="BC28" s="48">
        <f t="shared" si="55"/>
        <v>50</v>
      </c>
      <c r="BD28" s="48">
        <f t="shared" si="55"/>
        <v>1769.7</v>
      </c>
      <c r="BE28" s="48">
        <f t="shared" si="55"/>
        <v>95929.538</v>
      </c>
      <c r="BF28" s="48">
        <f t="shared" si="55"/>
        <v>206206.679270833</v>
      </c>
      <c r="BG28" s="48">
        <f t="shared" si="55"/>
        <v>1405325.90427083</v>
      </c>
      <c r="BH28" s="48">
        <f t="shared" si="55"/>
        <v>16863910.85125</v>
      </c>
      <c r="BI28" s="48">
        <f t="shared" ref="BI28:BJ28" si="56">SUM(BI16:BI27)</f>
        <v>10.81</v>
      </c>
      <c r="BJ28" s="48">
        <f t="shared" si="56"/>
        <v>1199566.811625</v>
      </c>
    </row>
    <row r="29" ht="31.5" customHeight="1" spans="1:62">
      <c r="A29" s="82">
        <v>1</v>
      </c>
      <c r="B29" s="136" t="s">
        <v>100</v>
      </c>
      <c r="C29" s="15" t="s">
        <v>58</v>
      </c>
      <c r="D29" s="15" t="s">
        <v>59</v>
      </c>
      <c r="E29" s="17" t="s">
        <v>78</v>
      </c>
      <c r="F29" s="18" t="s">
        <v>80</v>
      </c>
      <c r="G29" s="86">
        <v>10.2</v>
      </c>
      <c r="H29" s="15">
        <v>4.86</v>
      </c>
      <c r="I29" s="105">
        <f t="shared" si="0"/>
        <v>1.22</v>
      </c>
      <c r="J29" s="109"/>
      <c r="K29" s="402"/>
      <c r="L29" s="434">
        <v>22</v>
      </c>
      <c r="M29" s="153"/>
      <c r="N29" s="154"/>
      <c r="O29" s="400">
        <f t="shared" si="34"/>
        <v>22</v>
      </c>
      <c r="P29" s="401">
        <f>SUM(($H$4*H29)/24)*J29</f>
        <v>0</v>
      </c>
      <c r="Q29" s="421">
        <f>SUM(($H$4*H29)/24)*K29</f>
        <v>0</v>
      </c>
      <c r="R29" s="421">
        <f>($H$4*H29)/18*L29</f>
        <v>105120.18</v>
      </c>
      <c r="S29" s="421">
        <f>($H$4*H29)*M29/18</f>
        <v>0</v>
      </c>
      <c r="T29" s="421">
        <f>($H$4*H29)/18*N29</f>
        <v>0</v>
      </c>
      <c r="U29" s="421">
        <f t="shared" si="14"/>
        <v>105120.18</v>
      </c>
      <c r="V29" s="422">
        <v>25</v>
      </c>
      <c r="W29" s="421">
        <f t="shared" si="15"/>
        <v>26280.045</v>
      </c>
      <c r="X29" s="421">
        <f t="shared" si="16"/>
        <v>131400.225</v>
      </c>
      <c r="Y29" s="154">
        <v>3.5</v>
      </c>
      <c r="Z29" s="421">
        <f t="shared" si="1"/>
        <v>860.270833333333</v>
      </c>
      <c r="AA29" s="366"/>
      <c r="AB29" s="401">
        <f t="shared" si="2"/>
        <v>0</v>
      </c>
      <c r="AC29" s="366"/>
      <c r="AD29" s="366">
        <f>SUM(($H$4*0.25)/18*AC29)</f>
        <v>0</v>
      </c>
      <c r="AE29" s="411"/>
      <c r="AF29" s="401">
        <f t="shared" si="4"/>
        <v>0</v>
      </c>
      <c r="AG29" s="154"/>
      <c r="AH29" s="449">
        <f t="shared" si="5"/>
        <v>0</v>
      </c>
      <c r="AI29" s="154"/>
      <c r="AJ29" s="421">
        <f t="shared" si="17"/>
        <v>0</v>
      </c>
      <c r="AK29" s="423">
        <f t="shared" si="18"/>
        <v>3.5</v>
      </c>
      <c r="AL29" s="421">
        <f t="shared" si="19"/>
        <v>860.270833333333</v>
      </c>
      <c r="AM29" s="154">
        <v>0.5</v>
      </c>
      <c r="AN29" s="401">
        <f t="shared" si="6"/>
        <v>2212.125</v>
      </c>
      <c r="AO29" s="366"/>
      <c r="AP29" s="402">
        <f t="shared" si="7"/>
        <v>0</v>
      </c>
      <c r="AQ29" s="366"/>
      <c r="AR29" s="401">
        <f>SUM($H$4*0.2*AQ29)</f>
        <v>0</v>
      </c>
      <c r="AS29" s="154"/>
      <c r="AT29" s="401">
        <f t="shared" si="21"/>
        <v>0</v>
      </c>
      <c r="AU29" s="422"/>
      <c r="AV29" s="401">
        <f>SUM($H$4*$H29*AU29/18)*0.7</f>
        <v>0</v>
      </c>
      <c r="AW29" s="459"/>
      <c r="AX29" s="401">
        <f t="shared" si="23"/>
        <v>0</v>
      </c>
      <c r="AY29" s="154"/>
      <c r="AZ29" s="449">
        <f t="shared" si="24"/>
        <v>0</v>
      </c>
      <c r="BA29" s="366"/>
      <c r="BB29" s="401">
        <f t="shared" si="25"/>
        <v>0</v>
      </c>
      <c r="BC29" s="366">
        <v>50</v>
      </c>
      <c r="BD29" s="449">
        <f t="shared" si="32"/>
        <v>1769.7</v>
      </c>
      <c r="BE29" s="401">
        <f t="shared" si="26"/>
        <v>10512.018</v>
      </c>
      <c r="BF29" s="362">
        <f t="shared" si="27"/>
        <v>15354.1138333333</v>
      </c>
      <c r="BG29" s="421">
        <f t="shared" si="28"/>
        <v>146754.338833333</v>
      </c>
      <c r="BH29" s="421">
        <f t="shared" si="29"/>
        <v>1761052.066</v>
      </c>
      <c r="BI29" s="105">
        <f t="shared" si="30"/>
        <v>1.22</v>
      </c>
      <c r="BJ29" s="430">
        <f t="shared" si="31"/>
        <v>131161.3155</v>
      </c>
    </row>
    <row r="30" ht="22.5" customHeight="1" spans="1:62">
      <c r="A30" s="148">
        <v>3</v>
      </c>
      <c r="B30" s="15" t="s">
        <v>101</v>
      </c>
      <c r="C30" s="16" t="s">
        <v>102</v>
      </c>
      <c r="D30" s="15" t="s">
        <v>59</v>
      </c>
      <c r="E30" s="136" t="s">
        <v>82</v>
      </c>
      <c r="F30" s="18" t="s">
        <v>103</v>
      </c>
      <c r="G30" s="86">
        <v>4.4</v>
      </c>
      <c r="H30" s="15">
        <v>4.59</v>
      </c>
      <c r="I30" s="105">
        <f t="shared" si="0"/>
        <v>1.17</v>
      </c>
      <c r="J30" s="109"/>
      <c r="K30" s="48"/>
      <c r="L30" s="434"/>
      <c r="M30" s="153">
        <v>18</v>
      </c>
      <c r="N30" s="154">
        <v>3</v>
      </c>
      <c r="O30" s="400">
        <f t="shared" si="34"/>
        <v>21</v>
      </c>
      <c r="P30" s="401">
        <f>SUM(($H$4*H30)/24)*J30</f>
        <v>0</v>
      </c>
      <c r="Q30" s="421">
        <f>SUM(($H$4*H30)/24)*K30</f>
        <v>0</v>
      </c>
      <c r="R30" s="421">
        <f>($H$4*H30)/18*L30</f>
        <v>0</v>
      </c>
      <c r="S30" s="421">
        <f>($H$4*H30)*M30/18</f>
        <v>81229.23</v>
      </c>
      <c r="T30" s="421">
        <f>($H$4*H30)/18*N30</f>
        <v>13538.205</v>
      </c>
      <c r="U30" s="421">
        <f t="shared" si="14"/>
        <v>94767.435</v>
      </c>
      <c r="V30" s="422">
        <v>25</v>
      </c>
      <c r="W30" s="421">
        <f t="shared" si="15"/>
        <v>23691.85875</v>
      </c>
      <c r="X30" s="421">
        <f t="shared" si="16"/>
        <v>118459.29375</v>
      </c>
      <c r="Y30" s="48"/>
      <c r="Z30" s="421">
        <f t="shared" si="1"/>
        <v>0</v>
      </c>
      <c r="AA30" s="48"/>
      <c r="AB30" s="401">
        <f t="shared" si="2"/>
        <v>0</v>
      </c>
      <c r="AC30" s="48"/>
      <c r="AD30" s="366">
        <f>SUM(($H$4*0.25)/18*AC30)</f>
        <v>0</v>
      </c>
      <c r="AE30" s="48"/>
      <c r="AF30" s="401">
        <f t="shared" si="4"/>
        <v>0</v>
      </c>
      <c r="AG30" s="453"/>
      <c r="AH30" s="449">
        <f t="shared" si="5"/>
        <v>0</v>
      </c>
      <c r="AI30" s="105"/>
      <c r="AJ30" s="421">
        <f t="shared" si="17"/>
        <v>0</v>
      </c>
      <c r="AK30" s="423">
        <f t="shared" si="18"/>
        <v>0</v>
      </c>
      <c r="AL30" s="421">
        <f t="shared" si="19"/>
        <v>0</v>
      </c>
      <c r="AM30" s="48"/>
      <c r="AN30" s="401">
        <f t="shared" si="6"/>
        <v>0</v>
      </c>
      <c r="AO30" s="105">
        <v>0.5</v>
      </c>
      <c r="AP30" s="402">
        <f t="shared" si="7"/>
        <v>2654.55</v>
      </c>
      <c r="AQ30" s="48"/>
      <c r="AR30" s="401">
        <f>SUM($H$4*0.2*AQ30)</f>
        <v>0</v>
      </c>
      <c r="AS30" s="154"/>
      <c r="AT30" s="401">
        <f t="shared" si="21"/>
        <v>0</v>
      </c>
      <c r="AU30" s="422"/>
      <c r="AV30" s="401">
        <f>SUM($H$4*$H30*AU30/18)*0.7</f>
        <v>0</v>
      </c>
      <c r="AW30" s="459"/>
      <c r="AX30" s="401">
        <f t="shared" si="23"/>
        <v>0</v>
      </c>
      <c r="AY30" s="154"/>
      <c r="AZ30" s="449">
        <f t="shared" si="24"/>
        <v>0</v>
      </c>
      <c r="BA30" s="366"/>
      <c r="BB30" s="401">
        <f t="shared" si="25"/>
        <v>0</v>
      </c>
      <c r="BC30" s="366"/>
      <c r="BD30" s="449">
        <f t="shared" si="32"/>
        <v>0</v>
      </c>
      <c r="BE30" s="401">
        <f t="shared" si="26"/>
        <v>9476.7435</v>
      </c>
      <c r="BF30" s="362">
        <f t="shared" si="27"/>
        <v>12131.2935</v>
      </c>
      <c r="BG30" s="421">
        <f t="shared" si="28"/>
        <v>130590.58725</v>
      </c>
      <c r="BH30" s="421">
        <f t="shared" si="29"/>
        <v>1567087.047</v>
      </c>
      <c r="BI30" s="105">
        <f t="shared" si="30"/>
        <v>1.17</v>
      </c>
      <c r="BJ30" s="430">
        <f t="shared" si="31"/>
        <v>118797.748875</v>
      </c>
    </row>
    <row r="31" ht="41.25" customHeight="1" spans="1:62">
      <c r="A31" s="148">
        <v>4</v>
      </c>
      <c r="B31" s="164" t="s">
        <v>104</v>
      </c>
      <c r="C31" s="15" t="s">
        <v>105</v>
      </c>
      <c r="D31" s="15" t="s">
        <v>59</v>
      </c>
      <c r="E31" s="136" t="s">
        <v>82</v>
      </c>
      <c r="F31" s="18" t="s">
        <v>103</v>
      </c>
      <c r="G31" s="86">
        <v>4.4</v>
      </c>
      <c r="H31" s="15">
        <v>4.59</v>
      </c>
      <c r="I31" s="105">
        <f t="shared" si="0"/>
        <v>0.56</v>
      </c>
      <c r="J31" s="109"/>
      <c r="K31" s="48"/>
      <c r="L31" s="434"/>
      <c r="M31" s="153">
        <v>10</v>
      </c>
      <c r="N31" s="154"/>
      <c r="O31" s="400">
        <f t="shared" si="34"/>
        <v>10</v>
      </c>
      <c r="P31" s="401">
        <f>SUM(($H$4*H31)/24)*J31</f>
        <v>0</v>
      </c>
      <c r="Q31" s="421">
        <f>SUM(($H$4*H31)/24)*K31</f>
        <v>0</v>
      </c>
      <c r="R31" s="421">
        <f>($H$4*H31)/18*L31</f>
        <v>0</v>
      </c>
      <c r="S31" s="421">
        <f>($H$4*H31)*M31/18</f>
        <v>45127.35</v>
      </c>
      <c r="T31" s="421">
        <f>($H$4*H31)/18*N31</f>
        <v>0</v>
      </c>
      <c r="U31" s="421">
        <f t="shared" si="14"/>
        <v>45127.35</v>
      </c>
      <c r="V31" s="422">
        <v>25</v>
      </c>
      <c r="W31" s="421">
        <f t="shared" si="15"/>
        <v>11281.8375</v>
      </c>
      <c r="X31" s="421">
        <f t="shared" si="16"/>
        <v>56409.1875</v>
      </c>
      <c r="Y31" s="48"/>
      <c r="Z31" s="421">
        <f t="shared" si="1"/>
        <v>0</v>
      </c>
      <c r="AA31" s="48"/>
      <c r="AB31" s="401">
        <f t="shared" si="2"/>
        <v>0</v>
      </c>
      <c r="AC31" s="48"/>
      <c r="AD31" s="366">
        <f>SUM(($H$4*0.25)/18*AC31)</f>
        <v>0</v>
      </c>
      <c r="AE31" s="48"/>
      <c r="AF31" s="401">
        <f t="shared" si="4"/>
        <v>0</v>
      </c>
      <c r="AG31" s="362">
        <v>2</v>
      </c>
      <c r="AH31" s="449">
        <f t="shared" si="5"/>
        <v>393.266666666667</v>
      </c>
      <c r="AI31" s="105"/>
      <c r="AJ31" s="421">
        <f t="shared" si="17"/>
        <v>0</v>
      </c>
      <c r="AK31" s="423">
        <f t="shared" si="18"/>
        <v>2</v>
      </c>
      <c r="AL31" s="421">
        <f t="shared" si="19"/>
        <v>393.266666666667</v>
      </c>
      <c r="AM31" s="48"/>
      <c r="AN31" s="401">
        <f t="shared" si="6"/>
        <v>0</v>
      </c>
      <c r="AO31" s="48"/>
      <c r="AP31" s="402">
        <f t="shared" si="7"/>
        <v>0</v>
      </c>
      <c r="AQ31" s="48"/>
      <c r="AR31" s="401">
        <f>SUM($H$4*0.2*AQ31)</f>
        <v>0</v>
      </c>
      <c r="AS31" s="154"/>
      <c r="AT31" s="401">
        <f t="shared" si="21"/>
        <v>0</v>
      </c>
      <c r="AU31" s="422"/>
      <c r="AV31" s="401">
        <f>SUM($H$4*$H31*AU31/18)*0.7</f>
        <v>0</v>
      </c>
      <c r="AW31" s="459"/>
      <c r="AX31" s="401">
        <f t="shared" si="23"/>
        <v>0</v>
      </c>
      <c r="AY31" s="154"/>
      <c r="AZ31" s="449">
        <f t="shared" si="24"/>
        <v>0</v>
      </c>
      <c r="BA31" s="366"/>
      <c r="BB31" s="401">
        <f t="shared" si="25"/>
        <v>0</v>
      </c>
      <c r="BC31" s="366"/>
      <c r="BD31" s="449">
        <f t="shared" si="32"/>
        <v>0</v>
      </c>
      <c r="BE31" s="401">
        <f t="shared" si="26"/>
        <v>4512.735</v>
      </c>
      <c r="BF31" s="362">
        <f t="shared" si="27"/>
        <v>4906.00166666667</v>
      </c>
      <c r="BG31" s="421">
        <f t="shared" si="28"/>
        <v>61315.1891666667</v>
      </c>
      <c r="BH31" s="421">
        <f t="shared" si="29"/>
        <v>735782.27</v>
      </c>
      <c r="BI31" s="105">
        <f t="shared" si="30"/>
        <v>0.56</v>
      </c>
      <c r="BJ31" s="430">
        <f t="shared" si="31"/>
        <v>56860.461</v>
      </c>
    </row>
    <row r="32" ht="36.75" customHeight="1" spans="1:62">
      <c r="A32" s="15">
        <v>6</v>
      </c>
      <c r="B32" s="15" t="s">
        <v>106</v>
      </c>
      <c r="C32" s="15" t="s">
        <v>58</v>
      </c>
      <c r="D32" s="15" t="s">
        <v>59</v>
      </c>
      <c r="E32" s="136" t="s">
        <v>82</v>
      </c>
      <c r="F32" s="18">
        <v>2</v>
      </c>
      <c r="G32" s="86">
        <v>11.4</v>
      </c>
      <c r="H32" s="15">
        <v>4.81</v>
      </c>
      <c r="I32" s="105">
        <f t="shared" si="0"/>
        <v>1.28</v>
      </c>
      <c r="J32" s="109"/>
      <c r="K32" s="48"/>
      <c r="L32" s="434">
        <v>23</v>
      </c>
      <c r="M32" s="153"/>
      <c r="N32" s="154">
        <v>0</v>
      </c>
      <c r="O32" s="400">
        <f t="shared" si="34"/>
        <v>23</v>
      </c>
      <c r="P32" s="401">
        <f>SUM(($H$4*H32)/24)*J32</f>
        <v>0</v>
      </c>
      <c r="Q32" s="421">
        <f>SUM(($H$4*H32)/24)*K32</f>
        <v>0</v>
      </c>
      <c r="R32" s="421">
        <f>($H$4*H32)/18*L32</f>
        <v>108767.728333333</v>
      </c>
      <c r="S32" s="421">
        <f>($H$4*H32)*M32/18</f>
        <v>0</v>
      </c>
      <c r="T32" s="421">
        <f>($H$4*H32)/18*N32</f>
        <v>0</v>
      </c>
      <c r="U32" s="421">
        <f t="shared" si="14"/>
        <v>108767.728333333</v>
      </c>
      <c r="V32" s="422">
        <v>25</v>
      </c>
      <c r="W32" s="421">
        <f t="shared" si="15"/>
        <v>27191.9320833333</v>
      </c>
      <c r="X32" s="421">
        <f t="shared" si="16"/>
        <v>135959.660416667</v>
      </c>
      <c r="Y32" s="48">
        <v>6</v>
      </c>
      <c r="Z32" s="421">
        <f t="shared" si="1"/>
        <v>1474.75</v>
      </c>
      <c r="AA32" s="48"/>
      <c r="AB32" s="401">
        <f t="shared" si="2"/>
        <v>0</v>
      </c>
      <c r="AC32" s="48"/>
      <c r="AD32" s="366">
        <f>SUM(($H$4*0.25)/18*AC32)</f>
        <v>0</v>
      </c>
      <c r="AE32" s="105">
        <v>4</v>
      </c>
      <c r="AF32" s="401">
        <f t="shared" si="4"/>
        <v>786.533333333333</v>
      </c>
      <c r="AG32" s="146"/>
      <c r="AH32" s="449">
        <f t="shared" si="5"/>
        <v>0</v>
      </c>
      <c r="AI32" s="48"/>
      <c r="AJ32" s="421">
        <f t="shared" si="17"/>
        <v>0</v>
      </c>
      <c r="AK32" s="423">
        <f t="shared" si="18"/>
        <v>10</v>
      </c>
      <c r="AL32" s="421">
        <f t="shared" si="19"/>
        <v>2261.28333333333</v>
      </c>
      <c r="AM32" s="48">
        <v>1</v>
      </c>
      <c r="AN32" s="401">
        <f t="shared" si="6"/>
        <v>4424.25</v>
      </c>
      <c r="AO32" s="48"/>
      <c r="AP32" s="402">
        <f t="shared" si="7"/>
        <v>0</v>
      </c>
      <c r="AQ32" s="48"/>
      <c r="AR32" s="401">
        <f>SUM($H$4*0.2*AQ32)</f>
        <v>0</v>
      </c>
      <c r="AS32" s="154"/>
      <c r="AT32" s="401">
        <f t="shared" si="21"/>
        <v>0</v>
      </c>
      <c r="AU32" s="422"/>
      <c r="AV32" s="401">
        <f>SUM($H$4*$H32*AU32/18)*0.7</f>
        <v>0</v>
      </c>
      <c r="AW32" s="459"/>
      <c r="AX32" s="401">
        <f t="shared" si="23"/>
        <v>0</v>
      </c>
      <c r="AY32" s="154"/>
      <c r="AZ32" s="449">
        <f t="shared" si="24"/>
        <v>0</v>
      </c>
      <c r="BA32" s="366"/>
      <c r="BB32" s="401">
        <f t="shared" si="25"/>
        <v>0</v>
      </c>
      <c r="BC32" s="366">
        <v>50</v>
      </c>
      <c r="BD32" s="449">
        <f t="shared" si="32"/>
        <v>1769.7</v>
      </c>
      <c r="BE32" s="401">
        <f t="shared" si="26"/>
        <v>10876.7728333333</v>
      </c>
      <c r="BF32" s="362">
        <f t="shared" si="27"/>
        <v>19332.0061666667</v>
      </c>
      <c r="BG32" s="421">
        <f t="shared" si="28"/>
        <v>155291.666583333</v>
      </c>
      <c r="BH32" s="421">
        <f t="shared" si="29"/>
        <v>1863499.999</v>
      </c>
      <c r="BI32" s="105">
        <f t="shared" si="30"/>
        <v>1.28</v>
      </c>
      <c r="BJ32" s="430">
        <f t="shared" si="31"/>
        <v>136196.112</v>
      </c>
    </row>
    <row r="33" ht="36.75" customHeight="1" spans="1:62">
      <c r="A33" s="82"/>
      <c r="B33" s="48" t="s">
        <v>107</v>
      </c>
      <c r="C33" s="105"/>
      <c r="D33" s="105"/>
      <c r="E33" s="360"/>
      <c r="F33" s="361"/>
      <c r="G33" s="362"/>
      <c r="H33" s="366"/>
      <c r="I33" s="48">
        <f>SUM(I29:I32)</f>
        <v>4.23</v>
      </c>
      <c r="J33" s="48">
        <f t="shared" ref="J33:BJ33" si="57">SUM(J29:J32)</f>
        <v>0</v>
      </c>
      <c r="K33" s="48">
        <f t="shared" si="57"/>
        <v>0</v>
      </c>
      <c r="L33" s="48">
        <f t="shared" si="57"/>
        <v>45</v>
      </c>
      <c r="M33" s="48">
        <f t="shared" si="57"/>
        <v>28</v>
      </c>
      <c r="N33" s="48">
        <f t="shared" si="57"/>
        <v>3</v>
      </c>
      <c r="O33" s="48">
        <f t="shared" si="57"/>
        <v>76</v>
      </c>
      <c r="P33" s="48">
        <f t="shared" si="57"/>
        <v>0</v>
      </c>
      <c r="Q33" s="48">
        <f t="shared" si="57"/>
        <v>0</v>
      </c>
      <c r="R33" s="48">
        <f t="shared" si="57"/>
        <v>213887.908333333</v>
      </c>
      <c r="S33" s="48">
        <f t="shared" si="57"/>
        <v>126356.58</v>
      </c>
      <c r="T33" s="48">
        <f t="shared" si="57"/>
        <v>13538.205</v>
      </c>
      <c r="U33" s="48">
        <f t="shared" si="57"/>
        <v>353782.693333333</v>
      </c>
      <c r="V33" s="48">
        <f t="shared" si="57"/>
        <v>100</v>
      </c>
      <c r="W33" s="48">
        <f t="shared" si="57"/>
        <v>88445.6733333333</v>
      </c>
      <c r="X33" s="48">
        <f t="shared" si="57"/>
        <v>442228.366666667</v>
      </c>
      <c r="Y33" s="48">
        <f t="shared" si="57"/>
        <v>9.5</v>
      </c>
      <c r="Z33" s="48">
        <f t="shared" si="57"/>
        <v>2335.02083333333</v>
      </c>
      <c r="AA33" s="48">
        <f t="shared" si="57"/>
        <v>0</v>
      </c>
      <c r="AB33" s="48">
        <f t="shared" si="57"/>
        <v>0</v>
      </c>
      <c r="AC33" s="48">
        <f t="shared" si="57"/>
        <v>0</v>
      </c>
      <c r="AD33" s="48">
        <f t="shared" si="57"/>
        <v>0</v>
      </c>
      <c r="AE33" s="48">
        <f t="shared" si="57"/>
        <v>4</v>
      </c>
      <c r="AF33" s="48">
        <f t="shared" si="57"/>
        <v>786.533333333333</v>
      </c>
      <c r="AG33" s="48">
        <f t="shared" si="57"/>
        <v>2</v>
      </c>
      <c r="AH33" s="48">
        <f t="shared" si="57"/>
        <v>393.266666666667</v>
      </c>
      <c r="AI33" s="48">
        <f t="shared" si="57"/>
        <v>0</v>
      </c>
      <c r="AJ33" s="48">
        <f t="shared" si="57"/>
        <v>0</v>
      </c>
      <c r="AK33" s="48">
        <f t="shared" si="57"/>
        <v>15.5</v>
      </c>
      <c r="AL33" s="48">
        <f t="shared" si="57"/>
        <v>3514.82083333333</v>
      </c>
      <c r="AM33" s="48">
        <f t="shared" si="57"/>
        <v>1.5</v>
      </c>
      <c r="AN33" s="48">
        <f t="shared" si="57"/>
        <v>6636.375</v>
      </c>
      <c r="AO33" s="48">
        <f t="shared" si="57"/>
        <v>0.5</v>
      </c>
      <c r="AP33" s="48">
        <f t="shared" si="57"/>
        <v>2654.55</v>
      </c>
      <c r="AQ33" s="48">
        <f t="shared" si="57"/>
        <v>0</v>
      </c>
      <c r="AR33" s="48">
        <f t="shared" si="57"/>
        <v>0</v>
      </c>
      <c r="AS33" s="48">
        <f t="shared" si="57"/>
        <v>0</v>
      </c>
      <c r="AT33" s="48">
        <f t="shared" si="57"/>
        <v>0</v>
      </c>
      <c r="AU33" s="48">
        <f t="shared" si="57"/>
        <v>0</v>
      </c>
      <c r="AV33" s="48">
        <f t="shared" si="57"/>
        <v>0</v>
      </c>
      <c r="AW33" s="48">
        <f t="shared" si="57"/>
        <v>0</v>
      </c>
      <c r="AX33" s="48">
        <f t="shared" si="57"/>
        <v>0</v>
      </c>
      <c r="AY33" s="48">
        <f t="shared" si="57"/>
        <v>0</v>
      </c>
      <c r="AZ33" s="48">
        <f t="shared" si="57"/>
        <v>0</v>
      </c>
      <c r="BA33" s="48">
        <f t="shared" si="57"/>
        <v>0</v>
      </c>
      <c r="BB33" s="48">
        <f t="shared" si="57"/>
        <v>0</v>
      </c>
      <c r="BC33" s="48">
        <f t="shared" si="57"/>
        <v>100</v>
      </c>
      <c r="BD33" s="48">
        <f t="shared" si="57"/>
        <v>3539.4</v>
      </c>
      <c r="BE33" s="48">
        <f t="shared" si="57"/>
        <v>35378.2693333333</v>
      </c>
      <c r="BF33" s="48">
        <f t="shared" si="57"/>
        <v>51723.4151666667</v>
      </c>
      <c r="BG33" s="48">
        <f t="shared" si="57"/>
        <v>493951.781833333</v>
      </c>
      <c r="BH33" s="48">
        <f t="shared" si="57"/>
        <v>5927421.382</v>
      </c>
      <c r="BI33" s="48">
        <f t="shared" si="57"/>
        <v>4.23</v>
      </c>
      <c r="BJ33" s="48">
        <f t="shared" si="57"/>
        <v>443015.637375</v>
      </c>
    </row>
    <row r="34" ht="36.75" customHeight="1" spans="1:62">
      <c r="A34" s="82">
        <v>1</v>
      </c>
      <c r="B34" s="15" t="s">
        <v>101</v>
      </c>
      <c r="C34" s="16" t="s">
        <v>108</v>
      </c>
      <c r="D34" s="136" t="s">
        <v>59</v>
      </c>
      <c r="E34" s="17" t="s">
        <v>109</v>
      </c>
      <c r="F34" s="18" t="s">
        <v>110</v>
      </c>
      <c r="G34" s="19">
        <v>3.4</v>
      </c>
      <c r="H34" s="20">
        <v>4.23</v>
      </c>
      <c r="I34" s="105">
        <f t="shared" si="0"/>
        <v>0.28</v>
      </c>
      <c r="J34" s="109"/>
      <c r="K34" s="402"/>
      <c r="L34" s="434"/>
      <c r="M34" s="153">
        <v>3</v>
      </c>
      <c r="N34" s="154">
        <v>2</v>
      </c>
      <c r="O34" s="400">
        <f t="shared" si="34"/>
        <v>5</v>
      </c>
      <c r="P34" s="401">
        <f t="shared" ref="P34:P47" si="58">SUM(($H$4*H34)/24)*J34</f>
        <v>0</v>
      </c>
      <c r="Q34" s="421">
        <f t="shared" ref="Q34:Q47" si="59">SUM(($H$4*H34)/24)*K34</f>
        <v>0</v>
      </c>
      <c r="R34" s="421">
        <f t="shared" ref="R34:R43" si="60">($H$4*H34)/18*L34</f>
        <v>0</v>
      </c>
      <c r="S34" s="421">
        <f t="shared" ref="S34:S47" si="61">($H$4*H34)*M34/18</f>
        <v>12476.385</v>
      </c>
      <c r="T34" s="421">
        <f t="shared" ref="T34:T46" si="62">($H$4*H34)/18*N34</f>
        <v>8317.59</v>
      </c>
      <c r="U34" s="421">
        <f t="shared" si="14"/>
        <v>20793.975</v>
      </c>
      <c r="V34" s="422">
        <v>25</v>
      </c>
      <c r="W34" s="421">
        <f t="shared" si="15"/>
        <v>5198.49375</v>
      </c>
      <c r="X34" s="421">
        <f t="shared" si="16"/>
        <v>25992.46875</v>
      </c>
      <c r="Y34" s="373"/>
      <c r="Z34" s="421">
        <f t="shared" si="1"/>
        <v>0</v>
      </c>
      <c r="AA34" s="373"/>
      <c r="AB34" s="401">
        <f t="shared" si="2"/>
        <v>0</v>
      </c>
      <c r="AC34" s="373"/>
      <c r="AD34" s="366">
        <f t="shared" ref="AD34:AD52" si="63">SUM(($H$4*0.25)/18*AC34)</f>
        <v>0</v>
      </c>
      <c r="AE34" s="373"/>
      <c r="AF34" s="401">
        <f t="shared" si="4"/>
        <v>0</v>
      </c>
      <c r="AG34" s="373"/>
      <c r="AH34" s="449">
        <f t="shared" si="5"/>
        <v>0</v>
      </c>
      <c r="AI34" s="373"/>
      <c r="AJ34" s="421">
        <f t="shared" si="17"/>
        <v>0</v>
      </c>
      <c r="AK34" s="423">
        <f t="shared" si="18"/>
        <v>0</v>
      </c>
      <c r="AL34" s="421">
        <f t="shared" si="19"/>
        <v>0</v>
      </c>
      <c r="AM34" s="373"/>
      <c r="AN34" s="401">
        <f t="shared" si="6"/>
        <v>0</v>
      </c>
      <c r="AO34" s="373"/>
      <c r="AP34" s="402">
        <f t="shared" si="7"/>
        <v>0</v>
      </c>
      <c r="AQ34" s="373"/>
      <c r="AR34" s="401">
        <f t="shared" ref="AR34:AR45" si="64">SUM($H$4*0.2*AQ34)</f>
        <v>0</v>
      </c>
      <c r="AS34" s="154"/>
      <c r="AT34" s="401">
        <f t="shared" si="21"/>
        <v>0</v>
      </c>
      <c r="AU34" s="422"/>
      <c r="AV34" s="401">
        <f t="shared" ref="AV34:AV42" si="65">SUM($H$4*$H34*AU34/18)*0.7</f>
        <v>0</v>
      </c>
      <c r="AW34" s="459"/>
      <c r="AX34" s="401">
        <f t="shared" si="23"/>
        <v>0</v>
      </c>
      <c r="AY34" s="154"/>
      <c r="AZ34" s="449">
        <f t="shared" si="24"/>
        <v>0</v>
      </c>
      <c r="BA34" s="366"/>
      <c r="BB34" s="401">
        <f t="shared" si="25"/>
        <v>0</v>
      </c>
      <c r="BC34" s="366"/>
      <c r="BD34" s="449">
        <f t="shared" si="32"/>
        <v>0</v>
      </c>
      <c r="BE34" s="401">
        <f t="shared" si="26"/>
        <v>2079.3975</v>
      </c>
      <c r="BF34" s="362">
        <f t="shared" si="27"/>
        <v>2079.3975</v>
      </c>
      <c r="BG34" s="421">
        <f t="shared" si="28"/>
        <v>28071.86625</v>
      </c>
      <c r="BH34" s="421">
        <f t="shared" si="29"/>
        <v>336862.395</v>
      </c>
      <c r="BI34" s="105">
        <f t="shared" si="30"/>
        <v>0.28</v>
      </c>
      <c r="BJ34" s="430">
        <f t="shared" si="31"/>
        <v>26200.4085</v>
      </c>
    </row>
    <row r="35" s="345" customFormat="1" ht="18.75" customHeight="1" spans="1:62">
      <c r="A35" s="82">
        <v>2</v>
      </c>
      <c r="B35" s="15" t="s">
        <v>96</v>
      </c>
      <c r="C35" s="16" t="s">
        <v>108</v>
      </c>
      <c r="D35" s="15" t="s">
        <v>59</v>
      </c>
      <c r="E35" s="17" t="s">
        <v>109</v>
      </c>
      <c r="F35" s="18" t="s">
        <v>110</v>
      </c>
      <c r="G35" s="19">
        <v>3.4</v>
      </c>
      <c r="H35" s="20">
        <v>4.23</v>
      </c>
      <c r="I35" s="105">
        <f t="shared" si="0"/>
        <v>0.33</v>
      </c>
      <c r="J35" s="109"/>
      <c r="K35" s="402"/>
      <c r="L35" s="434"/>
      <c r="M35" s="153">
        <v>4</v>
      </c>
      <c r="N35" s="154">
        <v>2</v>
      </c>
      <c r="O35" s="400">
        <f t="shared" si="34"/>
        <v>6</v>
      </c>
      <c r="P35" s="401">
        <f t="shared" si="58"/>
        <v>0</v>
      </c>
      <c r="Q35" s="421">
        <f t="shared" si="59"/>
        <v>0</v>
      </c>
      <c r="R35" s="421">
        <f t="shared" si="60"/>
        <v>0</v>
      </c>
      <c r="S35" s="421">
        <f t="shared" si="61"/>
        <v>16635.18</v>
      </c>
      <c r="T35" s="421">
        <f t="shared" si="62"/>
        <v>8317.59</v>
      </c>
      <c r="U35" s="421">
        <f t="shared" si="14"/>
        <v>24952.77</v>
      </c>
      <c r="V35" s="422">
        <v>25</v>
      </c>
      <c r="W35" s="421">
        <f t="shared" si="15"/>
        <v>6238.1925</v>
      </c>
      <c r="X35" s="421">
        <f t="shared" si="16"/>
        <v>31190.9625</v>
      </c>
      <c r="Y35" s="373"/>
      <c r="Z35" s="421">
        <f t="shared" si="1"/>
        <v>0</v>
      </c>
      <c r="AA35" s="373"/>
      <c r="AB35" s="401">
        <f t="shared" si="2"/>
        <v>0</v>
      </c>
      <c r="AC35" s="373"/>
      <c r="AD35" s="366">
        <f t="shared" si="63"/>
        <v>0</v>
      </c>
      <c r="AE35" s="373"/>
      <c r="AF35" s="401">
        <f t="shared" si="4"/>
        <v>0</v>
      </c>
      <c r="AG35" s="373"/>
      <c r="AH35" s="449">
        <f t="shared" si="5"/>
        <v>0</v>
      </c>
      <c r="AI35" s="373"/>
      <c r="AJ35" s="421">
        <f t="shared" si="17"/>
        <v>0</v>
      </c>
      <c r="AK35" s="423">
        <f t="shared" si="18"/>
        <v>0</v>
      </c>
      <c r="AL35" s="421">
        <f t="shared" si="19"/>
        <v>0</v>
      </c>
      <c r="AM35" s="373"/>
      <c r="AN35" s="401">
        <f t="shared" si="6"/>
        <v>0</v>
      </c>
      <c r="AO35" s="373"/>
      <c r="AP35" s="402">
        <f t="shared" si="7"/>
        <v>0</v>
      </c>
      <c r="AQ35" s="373"/>
      <c r="AR35" s="401">
        <f t="shared" si="64"/>
        <v>0</v>
      </c>
      <c r="AS35" s="154"/>
      <c r="AT35" s="401">
        <f t="shared" si="21"/>
        <v>0</v>
      </c>
      <c r="AU35" s="422"/>
      <c r="AV35" s="401">
        <f t="shared" si="65"/>
        <v>0</v>
      </c>
      <c r="AW35" s="459"/>
      <c r="AX35" s="401">
        <f t="shared" si="23"/>
        <v>0</v>
      </c>
      <c r="AY35" s="154"/>
      <c r="AZ35" s="449">
        <f t="shared" si="24"/>
        <v>0</v>
      </c>
      <c r="BA35" s="366"/>
      <c r="BB35" s="401">
        <f t="shared" si="25"/>
        <v>0</v>
      </c>
      <c r="BC35" s="366"/>
      <c r="BD35" s="449">
        <f t="shared" si="32"/>
        <v>0</v>
      </c>
      <c r="BE35" s="401">
        <f t="shared" si="26"/>
        <v>2495.277</v>
      </c>
      <c r="BF35" s="362">
        <f t="shared" si="27"/>
        <v>2495.277</v>
      </c>
      <c r="BG35" s="421">
        <f t="shared" si="28"/>
        <v>33686.2395</v>
      </c>
      <c r="BH35" s="421">
        <f t="shared" si="29"/>
        <v>404234.874</v>
      </c>
      <c r="BI35" s="105">
        <f t="shared" si="30"/>
        <v>0.33</v>
      </c>
      <c r="BJ35" s="430">
        <f t="shared" si="31"/>
        <v>30879.052875</v>
      </c>
    </row>
    <row r="36" s="345" customFormat="1" ht="18.75" customHeight="1" spans="1:62">
      <c r="A36" s="82">
        <v>3</v>
      </c>
      <c r="B36" s="15" t="s">
        <v>111</v>
      </c>
      <c r="C36" s="16" t="s">
        <v>112</v>
      </c>
      <c r="D36" s="15" t="s">
        <v>59</v>
      </c>
      <c r="E36" s="17" t="s">
        <v>82</v>
      </c>
      <c r="F36" s="18" t="s">
        <v>113</v>
      </c>
      <c r="G36" s="19">
        <v>3.4</v>
      </c>
      <c r="H36" s="367">
        <v>4.59</v>
      </c>
      <c r="I36" s="105">
        <f t="shared" si="0"/>
        <v>1.61</v>
      </c>
      <c r="J36" s="109"/>
      <c r="K36" s="402">
        <v>4</v>
      </c>
      <c r="L36" s="434">
        <v>8</v>
      </c>
      <c r="M36" s="153">
        <v>15</v>
      </c>
      <c r="N36" s="154">
        <v>3</v>
      </c>
      <c r="O36" s="400">
        <f t="shared" si="34"/>
        <v>26</v>
      </c>
      <c r="P36" s="401">
        <f t="shared" si="58"/>
        <v>0</v>
      </c>
      <c r="Q36" s="421">
        <f t="shared" si="59"/>
        <v>13538.205</v>
      </c>
      <c r="R36" s="421">
        <f t="shared" si="60"/>
        <v>36101.88</v>
      </c>
      <c r="S36" s="421">
        <f t="shared" si="61"/>
        <v>67691.025</v>
      </c>
      <c r="T36" s="421">
        <f t="shared" si="62"/>
        <v>13538.205</v>
      </c>
      <c r="U36" s="421">
        <f t="shared" si="14"/>
        <v>130869.315</v>
      </c>
      <c r="V36" s="422">
        <v>25</v>
      </c>
      <c r="W36" s="421">
        <f t="shared" si="15"/>
        <v>32717.32875</v>
      </c>
      <c r="X36" s="421">
        <f t="shared" si="16"/>
        <v>163586.64375</v>
      </c>
      <c r="Y36" s="373">
        <v>2</v>
      </c>
      <c r="Z36" s="421">
        <f t="shared" si="1"/>
        <v>491.583333333333</v>
      </c>
      <c r="AA36" s="373">
        <v>5.25</v>
      </c>
      <c r="AB36" s="401">
        <f t="shared" si="2"/>
        <v>1290.40625</v>
      </c>
      <c r="AC36" s="373">
        <v>0.75</v>
      </c>
      <c r="AD36" s="366">
        <f t="shared" si="63"/>
        <v>184.34375</v>
      </c>
      <c r="AE36" s="446"/>
      <c r="AF36" s="401">
        <f t="shared" si="4"/>
        <v>0</v>
      </c>
      <c r="AG36" s="373"/>
      <c r="AH36" s="449">
        <f t="shared" si="5"/>
        <v>0</v>
      </c>
      <c r="AI36" s="373"/>
      <c r="AJ36" s="421">
        <f t="shared" si="17"/>
        <v>0</v>
      </c>
      <c r="AK36" s="423">
        <f t="shared" si="18"/>
        <v>8</v>
      </c>
      <c r="AL36" s="421">
        <f t="shared" si="19"/>
        <v>1966.33333333333</v>
      </c>
      <c r="AM36" s="373"/>
      <c r="AN36" s="401">
        <f t="shared" si="6"/>
        <v>0</v>
      </c>
      <c r="AO36" s="373">
        <v>1</v>
      </c>
      <c r="AP36" s="402">
        <f t="shared" si="7"/>
        <v>5309.1</v>
      </c>
      <c r="AQ36" s="373"/>
      <c r="AR36" s="401">
        <f t="shared" si="64"/>
        <v>0</v>
      </c>
      <c r="AS36" s="154"/>
      <c r="AT36" s="401">
        <f t="shared" si="21"/>
        <v>0</v>
      </c>
      <c r="AU36" s="422"/>
      <c r="AV36" s="401">
        <f t="shared" si="65"/>
        <v>0</v>
      </c>
      <c r="AW36" s="459"/>
      <c r="AX36" s="401">
        <f t="shared" si="23"/>
        <v>0</v>
      </c>
      <c r="AY36" s="154"/>
      <c r="AZ36" s="449">
        <f t="shared" si="24"/>
        <v>0</v>
      </c>
      <c r="BA36" s="366"/>
      <c r="BB36" s="401">
        <f t="shared" si="25"/>
        <v>0</v>
      </c>
      <c r="BC36" s="366"/>
      <c r="BD36" s="449">
        <f t="shared" si="32"/>
        <v>0</v>
      </c>
      <c r="BE36" s="401">
        <f t="shared" si="26"/>
        <v>13086.9315</v>
      </c>
      <c r="BF36" s="362">
        <f t="shared" si="27"/>
        <v>20362.3648333333</v>
      </c>
      <c r="BG36" s="421">
        <f t="shared" si="28"/>
        <v>183949.008583333</v>
      </c>
      <c r="BH36" s="421">
        <f t="shared" si="29"/>
        <v>2207388.103</v>
      </c>
      <c r="BI36" s="105">
        <f t="shared" si="30"/>
        <v>1.61</v>
      </c>
      <c r="BJ36" s="430">
        <f t="shared" si="31"/>
        <v>163473.825375</v>
      </c>
    </row>
    <row r="37" s="345" customFormat="1" ht="36" customHeight="1" spans="1:62">
      <c r="A37" s="82">
        <v>5</v>
      </c>
      <c r="B37" s="15" t="s">
        <v>114</v>
      </c>
      <c r="C37" s="16" t="s">
        <v>115</v>
      </c>
      <c r="D37" s="15" t="s">
        <v>59</v>
      </c>
      <c r="E37" s="17" t="s">
        <v>109</v>
      </c>
      <c r="F37" s="18" t="s">
        <v>110</v>
      </c>
      <c r="G37" s="19">
        <v>3.4</v>
      </c>
      <c r="H37" s="20">
        <v>4.23</v>
      </c>
      <c r="I37" s="105">
        <f t="shared" si="0"/>
        <v>0.67</v>
      </c>
      <c r="J37" s="109"/>
      <c r="K37" s="402"/>
      <c r="L37" s="434"/>
      <c r="M37" s="436">
        <v>12</v>
      </c>
      <c r="N37" s="154"/>
      <c r="O37" s="400">
        <f t="shared" si="34"/>
        <v>12</v>
      </c>
      <c r="P37" s="401">
        <f t="shared" si="58"/>
        <v>0</v>
      </c>
      <c r="Q37" s="421">
        <f t="shared" si="59"/>
        <v>0</v>
      </c>
      <c r="R37" s="421">
        <f t="shared" si="60"/>
        <v>0</v>
      </c>
      <c r="S37" s="421">
        <f t="shared" si="61"/>
        <v>49905.54</v>
      </c>
      <c r="T37" s="421">
        <f t="shared" si="62"/>
        <v>0</v>
      </c>
      <c r="U37" s="421">
        <f t="shared" si="14"/>
        <v>49905.54</v>
      </c>
      <c r="V37" s="422">
        <v>25</v>
      </c>
      <c r="W37" s="421">
        <f t="shared" si="15"/>
        <v>12476.385</v>
      </c>
      <c r="X37" s="421">
        <f t="shared" si="16"/>
        <v>62381.925</v>
      </c>
      <c r="Y37" s="373"/>
      <c r="Z37" s="421">
        <f t="shared" si="1"/>
        <v>0</v>
      </c>
      <c r="AA37" s="373"/>
      <c r="AB37" s="401">
        <f t="shared" si="2"/>
        <v>0</v>
      </c>
      <c r="AC37" s="373"/>
      <c r="AD37" s="366">
        <f t="shared" si="63"/>
        <v>0</v>
      </c>
      <c r="AE37" s="373"/>
      <c r="AF37" s="401">
        <f t="shared" si="4"/>
        <v>0</v>
      </c>
      <c r="AG37" s="153"/>
      <c r="AH37" s="449">
        <f t="shared" si="5"/>
        <v>0</v>
      </c>
      <c r="AI37" s="153"/>
      <c r="AJ37" s="421">
        <f t="shared" si="17"/>
        <v>0</v>
      </c>
      <c r="AK37" s="423">
        <f t="shared" si="18"/>
        <v>0</v>
      </c>
      <c r="AL37" s="421">
        <f t="shared" si="19"/>
        <v>0</v>
      </c>
      <c r="AM37" s="373"/>
      <c r="AN37" s="401">
        <f t="shared" si="6"/>
        <v>0</v>
      </c>
      <c r="AO37" s="373"/>
      <c r="AP37" s="402">
        <f t="shared" si="7"/>
        <v>0</v>
      </c>
      <c r="AQ37" s="373"/>
      <c r="AR37" s="401">
        <f t="shared" si="64"/>
        <v>0</v>
      </c>
      <c r="AS37" s="154"/>
      <c r="AT37" s="401">
        <f t="shared" si="21"/>
        <v>0</v>
      </c>
      <c r="AU37" s="422"/>
      <c r="AV37" s="401">
        <f t="shared" si="65"/>
        <v>0</v>
      </c>
      <c r="AW37" s="459"/>
      <c r="AX37" s="401">
        <f t="shared" si="23"/>
        <v>0</v>
      </c>
      <c r="AY37" s="154"/>
      <c r="AZ37" s="449">
        <f t="shared" si="24"/>
        <v>0</v>
      </c>
      <c r="BA37" s="366"/>
      <c r="BB37" s="401">
        <f t="shared" si="25"/>
        <v>0</v>
      </c>
      <c r="BC37" s="366"/>
      <c r="BD37" s="449">
        <f t="shared" si="32"/>
        <v>0</v>
      </c>
      <c r="BE37" s="401">
        <f t="shared" si="26"/>
        <v>4990.554</v>
      </c>
      <c r="BF37" s="362">
        <f t="shared" si="27"/>
        <v>4990.554</v>
      </c>
      <c r="BG37" s="421">
        <f t="shared" si="28"/>
        <v>67372.479</v>
      </c>
      <c r="BH37" s="421">
        <f t="shared" si="29"/>
        <v>808469.748</v>
      </c>
      <c r="BI37" s="105">
        <f t="shared" si="30"/>
        <v>0.67</v>
      </c>
      <c r="BJ37" s="430">
        <f t="shared" si="31"/>
        <v>62693.834625</v>
      </c>
    </row>
    <row r="38" s="345" customFormat="1" ht="24" customHeight="1" spans="1:62">
      <c r="A38" s="82">
        <v>6</v>
      </c>
      <c r="B38" s="15" t="s">
        <v>116</v>
      </c>
      <c r="C38" s="16" t="s">
        <v>115</v>
      </c>
      <c r="D38" s="15" t="s">
        <v>59</v>
      </c>
      <c r="E38" s="17" t="s">
        <v>109</v>
      </c>
      <c r="F38" s="18" t="s">
        <v>110</v>
      </c>
      <c r="G38" s="19">
        <v>52.11</v>
      </c>
      <c r="H38" s="16">
        <v>4.73</v>
      </c>
      <c r="I38" s="105">
        <f t="shared" si="0"/>
        <v>0.5</v>
      </c>
      <c r="J38" s="109"/>
      <c r="K38" s="402"/>
      <c r="L38" s="434">
        <v>9</v>
      </c>
      <c r="M38" s="435"/>
      <c r="N38" s="154"/>
      <c r="O38" s="400">
        <f t="shared" si="34"/>
        <v>9</v>
      </c>
      <c r="P38" s="401">
        <f t="shared" si="58"/>
        <v>0</v>
      </c>
      <c r="Q38" s="421">
        <f t="shared" si="59"/>
        <v>0</v>
      </c>
      <c r="R38" s="421">
        <f t="shared" si="60"/>
        <v>41853.405</v>
      </c>
      <c r="S38" s="421">
        <f t="shared" si="61"/>
        <v>0</v>
      </c>
      <c r="T38" s="421">
        <f t="shared" si="62"/>
        <v>0</v>
      </c>
      <c r="U38" s="421">
        <f t="shared" si="14"/>
        <v>41853.405</v>
      </c>
      <c r="V38" s="422">
        <v>25</v>
      </c>
      <c r="W38" s="421">
        <f t="shared" si="15"/>
        <v>10463.35125</v>
      </c>
      <c r="X38" s="421">
        <f t="shared" si="16"/>
        <v>52316.75625</v>
      </c>
      <c r="Y38" s="373"/>
      <c r="Z38" s="421">
        <f t="shared" si="1"/>
        <v>0</v>
      </c>
      <c r="AA38" s="373"/>
      <c r="AB38" s="401">
        <f t="shared" si="2"/>
        <v>0</v>
      </c>
      <c r="AC38" s="373"/>
      <c r="AD38" s="366">
        <f t="shared" si="63"/>
        <v>0</v>
      </c>
      <c r="AE38" s="373"/>
      <c r="AF38" s="401">
        <f t="shared" si="4"/>
        <v>0</v>
      </c>
      <c r="AG38" s="153"/>
      <c r="AH38" s="449">
        <f t="shared" si="5"/>
        <v>0</v>
      </c>
      <c r="AI38" s="153"/>
      <c r="AJ38" s="421">
        <f t="shared" si="17"/>
        <v>0</v>
      </c>
      <c r="AK38" s="423">
        <f t="shared" si="18"/>
        <v>0</v>
      </c>
      <c r="AL38" s="421">
        <f t="shared" si="19"/>
        <v>0</v>
      </c>
      <c r="AM38" s="373"/>
      <c r="AN38" s="401">
        <f t="shared" si="6"/>
        <v>0</v>
      </c>
      <c r="AO38" s="373"/>
      <c r="AP38" s="402">
        <f t="shared" si="7"/>
        <v>0</v>
      </c>
      <c r="AQ38" s="373"/>
      <c r="AR38" s="401">
        <f t="shared" si="64"/>
        <v>0</v>
      </c>
      <c r="AS38" s="154"/>
      <c r="AT38" s="401">
        <f t="shared" si="21"/>
        <v>0</v>
      </c>
      <c r="AU38" s="422"/>
      <c r="AV38" s="401">
        <f t="shared" si="65"/>
        <v>0</v>
      </c>
      <c r="AW38" s="459"/>
      <c r="AX38" s="401">
        <f t="shared" si="23"/>
        <v>0</v>
      </c>
      <c r="AY38" s="154"/>
      <c r="AZ38" s="449">
        <f t="shared" si="24"/>
        <v>0</v>
      </c>
      <c r="BA38" s="366"/>
      <c r="BB38" s="401">
        <f t="shared" si="25"/>
        <v>0</v>
      </c>
      <c r="BC38" s="366"/>
      <c r="BD38" s="449">
        <f t="shared" si="32"/>
        <v>0</v>
      </c>
      <c r="BE38" s="401">
        <f t="shared" si="26"/>
        <v>4185.3405</v>
      </c>
      <c r="BF38" s="362">
        <f t="shared" si="27"/>
        <v>4185.3405</v>
      </c>
      <c r="BG38" s="421">
        <f t="shared" si="28"/>
        <v>56502.09675</v>
      </c>
      <c r="BH38" s="421">
        <f t="shared" si="29"/>
        <v>678025.161</v>
      </c>
      <c r="BI38" s="105">
        <f t="shared" si="30"/>
        <v>0.5</v>
      </c>
      <c r="BJ38" s="430">
        <f t="shared" si="31"/>
        <v>52316.75625</v>
      </c>
    </row>
    <row r="39" s="345" customFormat="1" ht="42" customHeight="1" spans="1:62">
      <c r="A39" s="368">
        <v>8</v>
      </c>
      <c r="B39" s="164" t="s">
        <v>117</v>
      </c>
      <c r="C39" s="164" t="s">
        <v>68</v>
      </c>
      <c r="D39" s="164" t="s">
        <v>59</v>
      </c>
      <c r="E39" s="369" t="s">
        <v>109</v>
      </c>
      <c r="F39" s="165" t="s">
        <v>110</v>
      </c>
      <c r="G39" s="370">
        <v>4.4</v>
      </c>
      <c r="H39" s="371">
        <v>4.23</v>
      </c>
      <c r="I39" s="105">
        <f t="shared" si="0"/>
        <v>1</v>
      </c>
      <c r="J39" s="109"/>
      <c r="K39" s="409"/>
      <c r="L39" s="434"/>
      <c r="M39" s="437">
        <v>15</v>
      </c>
      <c r="N39" s="411">
        <v>3</v>
      </c>
      <c r="O39" s="400">
        <f t="shared" si="34"/>
        <v>18</v>
      </c>
      <c r="P39" s="412">
        <f t="shared" si="58"/>
        <v>0</v>
      </c>
      <c r="Q39" s="423">
        <f t="shared" si="59"/>
        <v>0</v>
      </c>
      <c r="R39" s="423">
        <f t="shared" si="60"/>
        <v>0</v>
      </c>
      <c r="S39" s="423">
        <f t="shared" si="61"/>
        <v>62381.925</v>
      </c>
      <c r="T39" s="423">
        <f t="shared" si="62"/>
        <v>12476.385</v>
      </c>
      <c r="U39" s="421">
        <f t="shared" si="14"/>
        <v>74858.31</v>
      </c>
      <c r="V39" s="424">
        <v>25</v>
      </c>
      <c r="W39" s="421">
        <f t="shared" si="15"/>
        <v>18714.5775</v>
      </c>
      <c r="X39" s="421">
        <f t="shared" si="16"/>
        <v>93572.8875</v>
      </c>
      <c r="Y39" s="447"/>
      <c r="Z39" s="423">
        <f t="shared" si="1"/>
        <v>0</v>
      </c>
      <c r="AA39" s="447"/>
      <c r="AB39" s="401">
        <f t="shared" si="2"/>
        <v>0</v>
      </c>
      <c r="AC39" s="447"/>
      <c r="AD39" s="366">
        <f t="shared" si="63"/>
        <v>0</v>
      </c>
      <c r="AE39" s="447"/>
      <c r="AF39" s="412">
        <f t="shared" si="4"/>
        <v>0</v>
      </c>
      <c r="AG39" s="411">
        <v>8.75</v>
      </c>
      <c r="AH39" s="454">
        <f t="shared" si="5"/>
        <v>1720.54166666667</v>
      </c>
      <c r="AI39" s="411"/>
      <c r="AJ39" s="421">
        <f t="shared" si="17"/>
        <v>0</v>
      </c>
      <c r="AK39" s="423">
        <f t="shared" si="18"/>
        <v>8.75</v>
      </c>
      <c r="AL39" s="421">
        <f t="shared" si="19"/>
        <v>1720.54166666667</v>
      </c>
      <c r="AM39" s="447"/>
      <c r="AN39" s="412">
        <f t="shared" si="6"/>
        <v>0</v>
      </c>
      <c r="AO39" s="447">
        <v>0.5</v>
      </c>
      <c r="AP39" s="402">
        <f t="shared" si="7"/>
        <v>2654.55</v>
      </c>
      <c r="AQ39" s="447"/>
      <c r="AR39" s="412">
        <f t="shared" si="64"/>
        <v>0</v>
      </c>
      <c r="AS39" s="411"/>
      <c r="AT39" s="401">
        <f t="shared" si="21"/>
        <v>0</v>
      </c>
      <c r="AU39" s="424"/>
      <c r="AV39" s="412">
        <f t="shared" si="65"/>
        <v>0</v>
      </c>
      <c r="AW39" s="460"/>
      <c r="AX39" s="401">
        <f t="shared" si="23"/>
        <v>0</v>
      </c>
      <c r="AY39" s="411"/>
      <c r="AZ39" s="449">
        <f t="shared" si="24"/>
        <v>0</v>
      </c>
      <c r="BA39" s="461"/>
      <c r="BB39" s="401">
        <f t="shared" si="25"/>
        <v>0</v>
      </c>
      <c r="BC39" s="461"/>
      <c r="BD39" s="449">
        <f t="shared" si="32"/>
        <v>0</v>
      </c>
      <c r="BE39" s="401">
        <f t="shared" si="26"/>
        <v>7485.831</v>
      </c>
      <c r="BF39" s="362">
        <f t="shared" si="27"/>
        <v>11860.9226666667</v>
      </c>
      <c r="BG39" s="421">
        <f t="shared" si="28"/>
        <v>105433.810166667</v>
      </c>
      <c r="BH39" s="421">
        <f t="shared" si="29"/>
        <v>1265205.722</v>
      </c>
      <c r="BI39" s="105">
        <f t="shared" si="30"/>
        <v>1</v>
      </c>
      <c r="BJ39" s="430">
        <f t="shared" si="31"/>
        <v>93572.8875</v>
      </c>
    </row>
    <row r="40" s="345" customFormat="1" ht="33.75" customHeight="1" spans="1:62">
      <c r="A40" s="368"/>
      <c r="B40" s="15" t="s">
        <v>118</v>
      </c>
      <c r="C40" s="15" t="s">
        <v>119</v>
      </c>
      <c r="D40" s="15" t="s">
        <v>59</v>
      </c>
      <c r="E40" s="17" t="s">
        <v>82</v>
      </c>
      <c r="F40" s="18" t="s">
        <v>120</v>
      </c>
      <c r="G40" s="86">
        <v>3</v>
      </c>
      <c r="H40" s="15">
        <v>4.59</v>
      </c>
      <c r="I40" s="105">
        <f t="shared" si="0"/>
        <v>1.28</v>
      </c>
      <c r="J40" s="109"/>
      <c r="K40" s="402"/>
      <c r="L40" s="434"/>
      <c r="M40" s="153">
        <v>14</v>
      </c>
      <c r="N40" s="154">
        <v>9</v>
      </c>
      <c r="O40" s="400">
        <f t="shared" si="34"/>
        <v>23</v>
      </c>
      <c r="P40" s="401">
        <f t="shared" si="58"/>
        <v>0</v>
      </c>
      <c r="Q40" s="421">
        <f t="shared" si="59"/>
        <v>0</v>
      </c>
      <c r="R40" s="421">
        <f t="shared" si="60"/>
        <v>0</v>
      </c>
      <c r="S40" s="421">
        <f t="shared" si="61"/>
        <v>63178.29</v>
      </c>
      <c r="T40" s="421">
        <f t="shared" si="62"/>
        <v>40614.615</v>
      </c>
      <c r="U40" s="421">
        <f t="shared" si="14"/>
        <v>103792.905</v>
      </c>
      <c r="V40" s="422">
        <v>25</v>
      </c>
      <c r="W40" s="421">
        <f t="shared" si="15"/>
        <v>25948.22625</v>
      </c>
      <c r="X40" s="421">
        <f t="shared" si="16"/>
        <v>129741.13125</v>
      </c>
      <c r="Y40" s="373"/>
      <c r="Z40" s="421">
        <f t="shared" si="1"/>
        <v>0</v>
      </c>
      <c r="AA40" s="373"/>
      <c r="AB40" s="401">
        <f t="shared" si="2"/>
        <v>0</v>
      </c>
      <c r="AC40" s="373"/>
      <c r="AD40" s="366">
        <f t="shared" si="63"/>
        <v>0</v>
      </c>
      <c r="AE40" s="373"/>
      <c r="AF40" s="401">
        <f t="shared" si="4"/>
        <v>0</v>
      </c>
      <c r="AG40" s="154">
        <v>4.5</v>
      </c>
      <c r="AH40" s="449">
        <f t="shared" si="5"/>
        <v>884.85</v>
      </c>
      <c r="AI40" s="154">
        <v>2</v>
      </c>
      <c r="AJ40" s="421">
        <f t="shared" si="17"/>
        <v>393.266666666667</v>
      </c>
      <c r="AK40" s="423">
        <f t="shared" si="18"/>
        <v>6.5</v>
      </c>
      <c r="AL40" s="421">
        <f t="shared" si="19"/>
        <v>1278.11666666667</v>
      </c>
      <c r="AM40" s="373"/>
      <c r="AN40" s="401">
        <f t="shared" si="6"/>
        <v>0</v>
      </c>
      <c r="AO40" s="373">
        <v>0.5</v>
      </c>
      <c r="AP40" s="402">
        <f t="shared" si="7"/>
        <v>2654.55</v>
      </c>
      <c r="AQ40" s="373"/>
      <c r="AR40" s="401">
        <f t="shared" si="64"/>
        <v>0</v>
      </c>
      <c r="AS40" s="154"/>
      <c r="AT40" s="401">
        <f t="shared" si="21"/>
        <v>0</v>
      </c>
      <c r="AU40" s="422"/>
      <c r="AV40" s="401">
        <f t="shared" si="65"/>
        <v>0</v>
      </c>
      <c r="AW40" s="459"/>
      <c r="AX40" s="401">
        <f t="shared" si="23"/>
        <v>0</v>
      </c>
      <c r="AY40" s="154"/>
      <c r="AZ40" s="449">
        <f t="shared" si="24"/>
        <v>0</v>
      </c>
      <c r="BA40" s="366"/>
      <c r="BB40" s="401">
        <f t="shared" si="25"/>
        <v>0</v>
      </c>
      <c r="BC40" s="366"/>
      <c r="BD40" s="449">
        <f t="shared" si="32"/>
        <v>0</v>
      </c>
      <c r="BE40" s="401">
        <f t="shared" si="26"/>
        <v>10379.2905</v>
      </c>
      <c r="BF40" s="362">
        <f t="shared" si="27"/>
        <v>14311.9571666667</v>
      </c>
      <c r="BG40" s="421">
        <f t="shared" si="28"/>
        <v>144053.088416667</v>
      </c>
      <c r="BH40" s="421">
        <f t="shared" si="29"/>
        <v>1728637.061</v>
      </c>
      <c r="BI40" s="105">
        <f t="shared" si="30"/>
        <v>1.28</v>
      </c>
      <c r="BJ40" s="430">
        <f t="shared" si="31"/>
        <v>129966.768</v>
      </c>
    </row>
    <row r="41" s="345" customFormat="1" ht="38.25" customHeight="1" spans="1:62">
      <c r="A41" s="82">
        <v>9</v>
      </c>
      <c r="B41" s="164" t="s">
        <v>104</v>
      </c>
      <c r="C41" s="15" t="s">
        <v>121</v>
      </c>
      <c r="D41" s="15" t="s">
        <v>59</v>
      </c>
      <c r="E41" s="136" t="s">
        <v>109</v>
      </c>
      <c r="F41" s="18" t="s">
        <v>110</v>
      </c>
      <c r="G41" s="86">
        <v>4.4</v>
      </c>
      <c r="H41" s="15">
        <v>4.23</v>
      </c>
      <c r="I41" s="105">
        <f t="shared" si="0"/>
        <v>0.72</v>
      </c>
      <c r="J41" s="109"/>
      <c r="K41" s="48"/>
      <c r="L41" s="434"/>
      <c r="M41" s="153">
        <v>9</v>
      </c>
      <c r="N41" s="154">
        <v>4</v>
      </c>
      <c r="O41" s="400">
        <f t="shared" si="34"/>
        <v>13</v>
      </c>
      <c r="P41" s="401">
        <f t="shared" si="58"/>
        <v>0</v>
      </c>
      <c r="Q41" s="421">
        <f t="shared" si="59"/>
        <v>0</v>
      </c>
      <c r="R41" s="421">
        <f t="shared" si="60"/>
        <v>0</v>
      </c>
      <c r="S41" s="421">
        <f t="shared" si="61"/>
        <v>37429.155</v>
      </c>
      <c r="T41" s="421">
        <f t="shared" si="62"/>
        <v>16635.18</v>
      </c>
      <c r="U41" s="421">
        <f t="shared" si="14"/>
        <v>54064.335</v>
      </c>
      <c r="V41" s="422">
        <v>25</v>
      </c>
      <c r="W41" s="421">
        <f t="shared" si="15"/>
        <v>13516.08375</v>
      </c>
      <c r="X41" s="421">
        <f t="shared" si="16"/>
        <v>67580.41875</v>
      </c>
      <c r="Y41" s="48"/>
      <c r="Z41" s="421">
        <f t="shared" si="1"/>
        <v>0</v>
      </c>
      <c r="AA41" s="48"/>
      <c r="AB41" s="401">
        <f t="shared" si="2"/>
        <v>0</v>
      </c>
      <c r="AC41" s="48"/>
      <c r="AD41" s="366">
        <f t="shared" si="63"/>
        <v>0</v>
      </c>
      <c r="AE41" s="48"/>
      <c r="AF41" s="401">
        <f t="shared" si="4"/>
        <v>0</v>
      </c>
      <c r="AG41" s="362"/>
      <c r="AH41" s="449">
        <f t="shared" si="5"/>
        <v>0</v>
      </c>
      <c r="AI41" s="105"/>
      <c r="AJ41" s="421">
        <f t="shared" si="17"/>
        <v>0</v>
      </c>
      <c r="AK41" s="423">
        <f t="shared" si="18"/>
        <v>0</v>
      </c>
      <c r="AL41" s="421">
        <f t="shared" si="19"/>
        <v>0</v>
      </c>
      <c r="AM41" s="48"/>
      <c r="AN41" s="401">
        <f t="shared" si="6"/>
        <v>0</v>
      </c>
      <c r="AO41" s="48"/>
      <c r="AP41" s="402">
        <f t="shared" si="7"/>
        <v>0</v>
      </c>
      <c r="AQ41" s="48"/>
      <c r="AR41" s="401">
        <f t="shared" si="64"/>
        <v>0</v>
      </c>
      <c r="AS41" s="154"/>
      <c r="AT41" s="401">
        <f t="shared" si="21"/>
        <v>0</v>
      </c>
      <c r="AU41" s="422"/>
      <c r="AV41" s="401">
        <f t="shared" si="65"/>
        <v>0</v>
      </c>
      <c r="AW41" s="459"/>
      <c r="AX41" s="401">
        <f t="shared" si="23"/>
        <v>0</v>
      </c>
      <c r="AY41" s="154"/>
      <c r="AZ41" s="449">
        <f t="shared" si="24"/>
        <v>0</v>
      </c>
      <c r="BA41" s="366"/>
      <c r="BB41" s="401">
        <f t="shared" si="25"/>
        <v>0</v>
      </c>
      <c r="BC41" s="366"/>
      <c r="BD41" s="449">
        <f t="shared" si="32"/>
        <v>0</v>
      </c>
      <c r="BE41" s="401">
        <f t="shared" si="26"/>
        <v>5406.4335</v>
      </c>
      <c r="BF41" s="362">
        <f t="shared" si="27"/>
        <v>5406.4335</v>
      </c>
      <c r="BG41" s="421">
        <f t="shared" si="28"/>
        <v>72986.85225</v>
      </c>
      <c r="BH41" s="421">
        <f t="shared" si="29"/>
        <v>875842.227</v>
      </c>
      <c r="BI41" s="105">
        <f t="shared" si="30"/>
        <v>0.72</v>
      </c>
      <c r="BJ41" s="430">
        <f t="shared" si="31"/>
        <v>67372.479</v>
      </c>
    </row>
    <row r="42" s="345" customFormat="1" ht="33.75" customHeight="1" spans="1:62">
      <c r="A42" s="82">
        <v>10</v>
      </c>
      <c r="B42" s="15" t="s">
        <v>122</v>
      </c>
      <c r="C42" s="16" t="s">
        <v>123</v>
      </c>
      <c r="D42" s="15" t="s">
        <v>59</v>
      </c>
      <c r="E42" s="17" t="s">
        <v>82</v>
      </c>
      <c r="F42" s="18">
        <v>2</v>
      </c>
      <c r="G42" s="19">
        <v>8</v>
      </c>
      <c r="H42" s="15">
        <v>4.74</v>
      </c>
      <c r="I42" s="105">
        <f t="shared" si="0"/>
        <v>0.5</v>
      </c>
      <c r="J42" s="109"/>
      <c r="K42" s="48"/>
      <c r="L42" s="434">
        <v>3</v>
      </c>
      <c r="M42" s="153">
        <v>5</v>
      </c>
      <c r="N42" s="154">
        <v>1</v>
      </c>
      <c r="O42" s="400">
        <f t="shared" si="34"/>
        <v>9</v>
      </c>
      <c r="P42" s="401">
        <f t="shared" si="58"/>
        <v>0</v>
      </c>
      <c r="Q42" s="421">
        <f t="shared" si="59"/>
        <v>0</v>
      </c>
      <c r="R42" s="421">
        <f t="shared" si="60"/>
        <v>13980.63</v>
      </c>
      <c r="S42" s="421">
        <f t="shared" si="61"/>
        <v>23301.05</v>
      </c>
      <c r="T42" s="421">
        <f t="shared" si="62"/>
        <v>4660.21</v>
      </c>
      <c r="U42" s="421">
        <f t="shared" si="14"/>
        <v>41941.89</v>
      </c>
      <c r="V42" s="422">
        <v>25</v>
      </c>
      <c r="W42" s="421">
        <f t="shared" si="15"/>
        <v>10485.4725</v>
      </c>
      <c r="X42" s="421">
        <f t="shared" si="16"/>
        <v>52427.3625</v>
      </c>
      <c r="Y42" s="48"/>
      <c r="Z42" s="421">
        <f t="shared" si="1"/>
        <v>0</v>
      </c>
      <c r="AA42" s="48"/>
      <c r="AB42" s="401">
        <f t="shared" si="2"/>
        <v>0</v>
      </c>
      <c r="AC42" s="48"/>
      <c r="AD42" s="366">
        <f t="shared" si="63"/>
        <v>0</v>
      </c>
      <c r="AE42" s="48"/>
      <c r="AF42" s="401">
        <f t="shared" si="4"/>
        <v>0</v>
      </c>
      <c r="AG42" s="362"/>
      <c r="AH42" s="449">
        <f t="shared" si="5"/>
        <v>0</v>
      </c>
      <c r="AI42" s="105"/>
      <c r="AJ42" s="421">
        <f t="shared" si="17"/>
        <v>0</v>
      </c>
      <c r="AK42" s="423">
        <f t="shared" si="18"/>
        <v>0</v>
      </c>
      <c r="AL42" s="421">
        <f t="shared" si="19"/>
        <v>0</v>
      </c>
      <c r="AM42" s="48"/>
      <c r="AN42" s="401">
        <f t="shared" si="6"/>
        <v>0</v>
      </c>
      <c r="AO42" s="48"/>
      <c r="AP42" s="402">
        <f t="shared" si="7"/>
        <v>0</v>
      </c>
      <c r="AQ42" s="48"/>
      <c r="AR42" s="401">
        <f t="shared" si="64"/>
        <v>0</v>
      </c>
      <c r="AS42" s="154"/>
      <c r="AT42" s="401">
        <f t="shared" si="21"/>
        <v>0</v>
      </c>
      <c r="AU42" s="422"/>
      <c r="AV42" s="401">
        <f t="shared" si="65"/>
        <v>0</v>
      </c>
      <c r="AW42" s="459"/>
      <c r="AX42" s="401">
        <f t="shared" si="23"/>
        <v>0</v>
      </c>
      <c r="AY42" s="154"/>
      <c r="AZ42" s="449">
        <f t="shared" si="24"/>
        <v>0</v>
      </c>
      <c r="BA42" s="366"/>
      <c r="BB42" s="401">
        <f t="shared" si="25"/>
        <v>0</v>
      </c>
      <c r="BC42" s="366"/>
      <c r="BD42" s="449">
        <f t="shared" si="32"/>
        <v>0</v>
      </c>
      <c r="BE42" s="401">
        <f t="shared" si="26"/>
        <v>4194.189</v>
      </c>
      <c r="BF42" s="362">
        <f t="shared" si="27"/>
        <v>4194.189</v>
      </c>
      <c r="BG42" s="421">
        <f t="shared" si="28"/>
        <v>56621.5515</v>
      </c>
      <c r="BH42" s="421">
        <f t="shared" si="29"/>
        <v>679458.618</v>
      </c>
      <c r="BI42" s="105">
        <f t="shared" si="30"/>
        <v>0.5</v>
      </c>
      <c r="BJ42" s="430">
        <f t="shared" si="31"/>
        <v>52427.3625</v>
      </c>
    </row>
    <row r="43" s="345" customFormat="1" ht="33.75" customHeight="1" spans="1:62">
      <c r="A43" s="82"/>
      <c r="B43" s="15" t="s">
        <v>124</v>
      </c>
      <c r="C43" s="15" t="s">
        <v>58</v>
      </c>
      <c r="D43" s="15" t="s">
        <v>59</v>
      </c>
      <c r="E43" s="17" t="s">
        <v>82</v>
      </c>
      <c r="F43" s="18" t="s">
        <v>113</v>
      </c>
      <c r="G43" s="86">
        <v>8.3</v>
      </c>
      <c r="H43" s="16">
        <v>4.74</v>
      </c>
      <c r="I43" s="105">
        <f t="shared" si="0"/>
        <v>0.83</v>
      </c>
      <c r="J43" s="109"/>
      <c r="K43" s="402"/>
      <c r="L43" s="434">
        <v>15</v>
      </c>
      <c r="M43" s="153"/>
      <c r="N43" s="154"/>
      <c r="O43" s="400">
        <f t="shared" si="34"/>
        <v>15</v>
      </c>
      <c r="P43" s="401">
        <f t="shared" si="58"/>
        <v>0</v>
      </c>
      <c r="Q43" s="421">
        <f t="shared" si="59"/>
        <v>0</v>
      </c>
      <c r="R43" s="421">
        <f t="shared" si="60"/>
        <v>69903.15</v>
      </c>
      <c r="S43" s="421">
        <f t="shared" si="61"/>
        <v>0</v>
      </c>
      <c r="T43" s="421">
        <f t="shared" si="62"/>
        <v>0</v>
      </c>
      <c r="U43" s="421">
        <f t="shared" si="14"/>
        <v>69903.15</v>
      </c>
      <c r="V43" s="422">
        <v>25</v>
      </c>
      <c r="W43" s="421">
        <f t="shared" si="15"/>
        <v>17475.7875</v>
      </c>
      <c r="X43" s="421">
        <f t="shared" si="16"/>
        <v>87378.9375</v>
      </c>
      <c r="Y43" s="373">
        <v>1.5</v>
      </c>
      <c r="Z43" s="421">
        <f t="shared" ref="Z43:Z46" si="66">($H$4*0.25)*Y43/18</f>
        <v>368.6875</v>
      </c>
      <c r="AA43" s="373"/>
      <c r="AB43" s="401">
        <f t="shared" si="2"/>
        <v>0</v>
      </c>
      <c r="AC43" s="373"/>
      <c r="AD43" s="366">
        <f t="shared" si="63"/>
        <v>0</v>
      </c>
      <c r="AE43" s="373">
        <v>1</v>
      </c>
      <c r="AF43" s="401">
        <f t="shared" si="4"/>
        <v>196.633333333333</v>
      </c>
      <c r="AG43" s="154">
        <v>0</v>
      </c>
      <c r="AH43" s="449">
        <f t="shared" si="5"/>
        <v>0</v>
      </c>
      <c r="AI43" s="373">
        <v>0</v>
      </c>
      <c r="AJ43" s="421">
        <f t="shared" si="17"/>
        <v>0</v>
      </c>
      <c r="AK43" s="423">
        <f t="shared" si="18"/>
        <v>2.5</v>
      </c>
      <c r="AL43" s="421">
        <f t="shared" si="19"/>
        <v>565.320833333333</v>
      </c>
      <c r="AM43" s="373">
        <v>0.5</v>
      </c>
      <c r="AN43" s="401">
        <f t="shared" si="6"/>
        <v>2212.125</v>
      </c>
      <c r="AO43" s="373"/>
      <c r="AP43" s="402">
        <f t="shared" si="7"/>
        <v>0</v>
      </c>
      <c r="AQ43" s="373"/>
      <c r="AR43" s="401">
        <f t="shared" si="64"/>
        <v>0</v>
      </c>
      <c r="AS43" s="154"/>
      <c r="AT43" s="401">
        <f t="shared" si="21"/>
        <v>0</v>
      </c>
      <c r="AU43" s="422"/>
      <c r="AV43" s="401"/>
      <c r="AW43" s="459"/>
      <c r="AX43" s="401">
        <f t="shared" si="23"/>
        <v>0</v>
      </c>
      <c r="AY43" s="154"/>
      <c r="AZ43" s="449">
        <f t="shared" si="24"/>
        <v>0</v>
      </c>
      <c r="BA43" s="366"/>
      <c r="BB43" s="401">
        <f t="shared" si="25"/>
        <v>0</v>
      </c>
      <c r="BC43" s="366"/>
      <c r="BD43" s="449">
        <f t="shared" si="32"/>
        <v>0</v>
      </c>
      <c r="BE43" s="401">
        <f t="shared" si="26"/>
        <v>6990.315</v>
      </c>
      <c r="BF43" s="362">
        <f t="shared" si="27"/>
        <v>9767.76083333333</v>
      </c>
      <c r="BG43" s="421">
        <f t="shared" si="28"/>
        <v>97146.6983333333</v>
      </c>
      <c r="BH43" s="421">
        <f t="shared" si="29"/>
        <v>1165760.38</v>
      </c>
      <c r="BI43" s="105">
        <f t="shared" si="30"/>
        <v>0.83</v>
      </c>
      <c r="BJ43" s="430">
        <f t="shared" si="31"/>
        <v>87029.42175</v>
      </c>
    </row>
    <row r="44" s="345" customFormat="1" ht="33.75" customHeight="1" spans="1:62">
      <c r="A44" s="82"/>
      <c r="B44" s="15" t="s">
        <v>124</v>
      </c>
      <c r="C44" s="15" t="s">
        <v>123</v>
      </c>
      <c r="D44" s="15" t="s">
        <v>59</v>
      </c>
      <c r="E44" s="17" t="s">
        <v>82</v>
      </c>
      <c r="F44" s="18" t="s">
        <v>113</v>
      </c>
      <c r="G44" s="86">
        <v>8.3</v>
      </c>
      <c r="H44" s="16">
        <v>4.74</v>
      </c>
      <c r="I44" s="105">
        <f t="shared" si="0"/>
        <v>0.56</v>
      </c>
      <c r="J44" s="109"/>
      <c r="K44" s="402"/>
      <c r="L44" s="434">
        <v>4</v>
      </c>
      <c r="M44" s="153">
        <v>5</v>
      </c>
      <c r="N44" s="154">
        <v>1</v>
      </c>
      <c r="O44" s="400">
        <f t="shared" si="34"/>
        <v>10</v>
      </c>
      <c r="P44" s="401">
        <f t="shared" si="58"/>
        <v>0</v>
      </c>
      <c r="Q44" s="421">
        <f t="shared" si="59"/>
        <v>0</v>
      </c>
      <c r="R44" s="421">
        <f t="shared" ref="R44:R47" si="67">($H$4*H44)/18*L44</f>
        <v>18640.84</v>
      </c>
      <c r="S44" s="421">
        <f t="shared" si="61"/>
        <v>23301.05</v>
      </c>
      <c r="T44" s="421">
        <f t="shared" si="62"/>
        <v>4660.21</v>
      </c>
      <c r="U44" s="421">
        <f t="shared" si="14"/>
        <v>46602.1</v>
      </c>
      <c r="V44" s="422">
        <v>25</v>
      </c>
      <c r="W44" s="421">
        <f t="shared" si="15"/>
        <v>11650.525</v>
      </c>
      <c r="X44" s="421">
        <f t="shared" si="16"/>
        <v>58252.625</v>
      </c>
      <c r="Y44" s="373"/>
      <c r="Z44" s="421">
        <f t="shared" si="66"/>
        <v>0</v>
      </c>
      <c r="AA44" s="373"/>
      <c r="AB44" s="401">
        <f t="shared" si="2"/>
        <v>0</v>
      </c>
      <c r="AC44" s="373"/>
      <c r="AD44" s="366">
        <f t="shared" si="63"/>
        <v>0</v>
      </c>
      <c r="AE44" s="373"/>
      <c r="AF44" s="401">
        <f t="shared" si="4"/>
        <v>0</v>
      </c>
      <c r="AG44" s="154">
        <v>0</v>
      </c>
      <c r="AH44" s="449">
        <f t="shared" si="5"/>
        <v>0</v>
      </c>
      <c r="AI44" s="373">
        <v>0</v>
      </c>
      <c r="AJ44" s="421">
        <f t="shared" si="17"/>
        <v>0</v>
      </c>
      <c r="AK44" s="423">
        <f t="shared" si="18"/>
        <v>0</v>
      </c>
      <c r="AL44" s="421">
        <f t="shared" si="19"/>
        <v>0</v>
      </c>
      <c r="AM44" s="373"/>
      <c r="AN44" s="401">
        <f t="shared" si="6"/>
        <v>0</v>
      </c>
      <c r="AO44" s="373"/>
      <c r="AP44" s="402">
        <f t="shared" si="7"/>
        <v>0</v>
      </c>
      <c r="AQ44" s="373"/>
      <c r="AR44" s="401">
        <f t="shared" si="64"/>
        <v>0</v>
      </c>
      <c r="AS44" s="154"/>
      <c r="AT44" s="401">
        <f t="shared" si="21"/>
        <v>0</v>
      </c>
      <c r="AU44" s="422"/>
      <c r="AV44" s="401"/>
      <c r="AW44" s="459"/>
      <c r="AX44" s="401">
        <f t="shared" si="23"/>
        <v>0</v>
      </c>
      <c r="AY44" s="154"/>
      <c r="AZ44" s="449">
        <f t="shared" si="24"/>
        <v>0</v>
      </c>
      <c r="BA44" s="366"/>
      <c r="BB44" s="401">
        <f t="shared" si="25"/>
        <v>0</v>
      </c>
      <c r="BC44" s="366"/>
      <c r="BD44" s="449">
        <f t="shared" si="32"/>
        <v>0</v>
      </c>
      <c r="BE44" s="401">
        <f t="shared" si="26"/>
        <v>4660.21</v>
      </c>
      <c r="BF44" s="362">
        <f t="shared" si="27"/>
        <v>4660.21</v>
      </c>
      <c r="BG44" s="421">
        <f t="shared" si="28"/>
        <v>62912.835</v>
      </c>
      <c r="BH44" s="421">
        <f t="shared" si="29"/>
        <v>754954.02</v>
      </c>
      <c r="BI44" s="105">
        <f t="shared" si="30"/>
        <v>0.56</v>
      </c>
      <c r="BJ44" s="430">
        <f t="shared" si="31"/>
        <v>58718.646</v>
      </c>
    </row>
    <row r="45" s="345" customFormat="1" ht="33.75" customHeight="1" spans="1:62">
      <c r="A45" s="82"/>
      <c r="B45" s="15" t="s">
        <v>125</v>
      </c>
      <c r="C45" s="15" t="s">
        <v>126</v>
      </c>
      <c r="D45" s="15" t="s">
        <v>59</v>
      </c>
      <c r="E45" s="17" t="s">
        <v>109</v>
      </c>
      <c r="F45" s="18" t="s">
        <v>127</v>
      </c>
      <c r="G45" s="86">
        <v>45.4</v>
      </c>
      <c r="H45" s="16">
        <v>4.73</v>
      </c>
      <c r="I45" s="105">
        <f t="shared" si="0"/>
        <v>1</v>
      </c>
      <c r="J45" s="109"/>
      <c r="K45" s="402"/>
      <c r="L45" s="434"/>
      <c r="M45" s="153">
        <v>18</v>
      </c>
      <c r="N45" s="154"/>
      <c r="O45" s="400">
        <f t="shared" si="34"/>
        <v>18</v>
      </c>
      <c r="P45" s="401">
        <f t="shared" si="58"/>
        <v>0</v>
      </c>
      <c r="Q45" s="421">
        <f t="shared" si="59"/>
        <v>0</v>
      </c>
      <c r="R45" s="421">
        <f t="shared" si="67"/>
        <v>0</v>
      </c>
      <c r="S45" s="421">
        <f t="shared" si="61"/>
        <v>83706.81</v>
      </c>
      <c r="T45" s="421">
        <f t="shared" si="62"/>
        <v>0</v>
      </c>
      <c r="U45" s="421">
        <f t="shared" si="14"/>
        <v>83706.81</v>
      </c>
      <c r="V45" s="422">
        <v>25</v>
      </c>
      <c r="W45" s="421">
        <f t="shared" si="15"/>
        <v>20926.7025</v>
      </c>
      <c r="X45" s="421">
        <f t="shared" si="16"/>
        <v>104633.5125</v>
      </c>
      <c r="Y45" s="373"/>
      <c r="Z45" s="421">
        <f t="shared" si="66"/>
        <v>0</v>
      </c>
      <c r="AA45" s="373">
        <v>7.75</v>
      </c>
      <c r="AB45" s="401">
        <f t="shared" si="2"/>
        <v>1904.88541666667</v>
      </c>
      <c r="AC45" s="373"/>
      <c r="AD45" s="366">
        <f t="shared" si="63"/>
        <v>0</v>
      </c>
      <c r="AE45" s="373"/>
      <c r="AF45" s="401">
        <f t="shared" si="4"/>
        <v>0</v>
      </c>
      <c r="AG45" s="154">
        <v>0</v>
      </c>
      <c r="AH45" s="449">
        <f t="shared" si="5"/>
        <v>0</v>
      </c>
      <c r="AI45" s="373">
        <v>0</v>
      </c>
      <c r="AJ45" s="421">
        <f t="shared" si="17"/>
        <v>0</v>
      </c>
      <c r="AK45" s="423">
        <f t="shared" si="18"/>
        <v>7.75</v>
      </c>
      <c r="AL45" s="421">
        <f t="shared" si="19"/>
        <v>1904.88541666667</v>
      </c>
      <c r="AM45" s="373"/>
      <c r="AN45" s="401">
        <f t="shared" si="6"/>
        <v>0</v>
      </c>
      <c r="AO45" s="373"/>
      <c r="AP45" s="402">
        <f t="shared" si="7"/>
        <v>0</v>
      </c>
      <c r="AQ45" s="373"/>
      <c r="AR45" s="401">
        <f t="shared" si="64"/>
        <v>0</v>
      </c>
      <c r="AS45" s="154"/>
      <c r="AT45" s="401">
        <f t="shared" si="21"/>
        <v>0</v>
      </c>
      <c r="AU45" s="422"/>
      <c r="AV45" s="401"/>
      <c r="AW45" s="459"/>
      <c r="AX45" s="401">
        <f t="shared" si="23"/>
        <v>0</v>
      </c>
      <c r="AY45" s="154"/>
      <c r="AZ45" s="449">
        <f t="shared" si="24"/>
        <v>0</v>
      </c>
      <c r="BA45" s="366"/>
      <c r="BB45" s="401">
        <f t="shared" si="25"/>
        <v>0</v>
      </c>
      <c r="BC45" s="366"/>
      <c r="BD45" s="449">
        <f t="shared" si="32"/>
        <v>0</v>
      </c>
      <c r="BE45" s="401">
        <f t="shared" si="26"/>
        <v>8370.681</v>
      </c>
      <c r="BF45" s="362">
        <f t="shared" si="27"/>
        <v>10275.5664166667</v>
      </c>
      <c r="BG45" s="421">
        <f t="shared" si="28"/>
        <v>114909.078916667</v>
      </c>
      <c r="BH45" s="421">
        <f t="shared" si="29"/>
        <v>1378908.947</v>
      </c>
      <c r="BI45" s="105">
        <f t="shared" si="30"/>
        <v>1</v>
      </c>
      <c r="BJ45" s="430">
        <f t="shared" si="31"/>
        <v>104633.5125</v>
      </c>
    </row>
    <row r="46" s="345" customFormat="1" ht="33.75" customHeight="1" spans="1:62">
      <c r="A46" s="82"/>
      <c r="B46" s="15" t="s">
        <v>128</v>
      </c>
      <c r="C46" s="372" t="s">
        <v>129</v>
      </c>
      <c r="D46" s="15" t="s">
        <v>59</v>
      </c>
      <c r="E46" s="17" t="s">
        <v>109</v>
      </c>
      <c r="F46" s="18" t="s">
        <v>127</v>
      </c>
      <c r="G46" s="345" t="s">
        <v>130</v>
      </c>
      <c r="H46" s="20">
        <v>4.1</v>
      </c>
      <c r="I46" s="105">
        <f t="shared" si="0"/>
        <v>1.61</v>
      </c>
      <c r="J46" s="109"/>
      <c r="K46" s="402"/>
      <c r="L46" s="434">
        <v>7</v>
      </c>
      <c r="M46" s="153">
        <v>22</v>
      </c>
      <c r="N46" s="154">
        <v>0</v>
      </c>
      <c r="O46" s="400">
        <f t="shared" si="34"/>
        <v>29</v>
      </c>
      <c r="P46" s="401">
        <f t="shared" si="58"/>
        <v>0</v>
      </c>
      <c r="Q46" s="421">
        <f t="shared" si="59"/>
        <v>0</v>
      </c>
      <c r="R46" s="421">
        <f t="shared" si="67"/>
        <v>28216.8833333333</v>
      </c>
      <c r="S46" s="421">
        <f t="shared" si="61"/>
        <v>88681.6333333333</v>
      </c>
      <c r="T46" s="421">
        <f t="shared" si="62"/>
        <v>0</v>
      </c>
      <c r="U46" s="421">
        <f t="shared" si="14"/>
        <v>116898.516666667</v>
      </c>
      <c r="V46" s="422">
        <v>25</v>
      </c>
      <c r="W46" s="421">
        <f t="shared" si="15"/>
        <v>29224.6291666667</v>
      </c>
      <c r="X46" s="421">
        <f t="shared" si="16"/>
        <v>146123.145833333</v>
      </c>
      <c r="Y46" s="373"/>
      <c r="Z46" s="421">
        <f t="shared" si="66"/>
        <v>0</v>
      </c>
      <c r="AA46" s="448">
        <v>7</v>
      </c>
      <c r="AB46" s="401">
        <f t="shared" si="2"/>
        <v>1720.54166666667</v>
      </c>
      <c r="AC46" s="421">
        <v>11.25</v>
      </c>
      <c r="AD46" s="366">
        <f t="shared" si="63"/>
        <v>2765.15625</v>
      </c>
      <c r="AE46" s="400"/>
      <c r="AF46" s="401">
        <f t="shared" si="4"/>
        <v>0</v>
      </c>
      <c r="AG46" s="154">
        <v>0</v>
      </c>
      <c r="AH46" s="449">
        <f t="shared" si="5"/>
        <v>0</v>
      </c>
      <c r="AI46" s="373">
        <v>0</v>
      </c>
      <c r="AJ46" s="421">
        <f t="shared" si="17"/>
        <v>0</v>
      </c>
      <c r="AK46" s="423">
        <f t="shared" si="18"/>
        <v>18.25</v>
      </c>
      <c r="AL46" s="421">
        <f t="shared" si="19"/>
        <v>4485.69791666667</v>
      </c>
      <c r="AM46" s="400"/>
      <c r="AN46" s="401">
        <f t="shared" si="6"/>
        <v>0</v>
      </c>
      <c r="AO46" s="373"/>
      <c r="AP46" s="402">
        <f t="shared" si="7"/>
        <v>0</v>
      </c>
      <c r="AQ46" s="400">
        <f t="shared" ref="AJ46:BC51" si="68">SUM(AM46:AP46)</f>
        <v>0</v>
      </c>
      <c r="AR46" s="400">
        <f t="shared" si="68"/>
        <v>0</v>
      </c>
      <c r="AS46" s="400">
        <f t="shared" si="68"/>
        <v>0</v>
      </c>
      <c r="AT46" s="401">
        <f t="shared" si="21"/>
        <v>0</v>
      </c>
      <c r="AU46" s="400">
        <f t="shared" si="68"/>
        <v>0</v>
      </c>
      <c r="AV46" s="400">
        <f t="shared" si="68"/>
        <v>0</v>
      </c>
      <c r="AW46" s="400">
        <f t="shared" si="68"/>
        <v>0</v>
      </c>
      <c r="AX46" s="401">
        <f t="shared" si="23"/>
        <v>0</v>
      </c>
      <c r="AY46" s="400">
        <f t="shared" si="68"/>
        <v>0</v>
      </c>
      <c r="AZ46" s="449">
        <f t="shared" si="24"/>
        <v>0</v>
      </c>
      <c r="BA46" s="400">
        <f t="shared" si="68"/>
        <v>0</v>
      </c>
      <c r="BB46" s="401">
        <f t="shared" si="25"/>
        <v>0</v>
      </c>
      <c r="BC46" s="400">
        <f t="shared" si="68"/>
        <v>0</v>
      </c>
      <c r="BD46" s="449">
        <f t="shared" si="32"/>
        <v>0</v>
      </c>
      <c r="BE46" s="401">
        <f t="shared" si="26"/>
        <v>11689.8516666667</v>
      </c>
      <c r="BF46" s="362">
        <f t="shared" si="27"/>
        <v>16175.5495833333</v>
      </c>
      <c r="BG46" s="421">
        <f t="shared" si="28"/>
        <v>162298.695416667</v>
      </c>
      <c r="BH46" s="421">
        <f t="shared" si="29"/>
        <v>1947584.345</v>
      </c>
      <c r="BI46" s="105">
        <f t="shared" si="30"/>
        <v>1.61</v>
      </c>
      <c r="BJ46" s="430">
        <f t="shared" si="31"/>
        <v>146022.37125</v>
      </c>
    </row>
    <row r="47" s="347" customFormat="1" ht="33.75" customHeight="1" spans="1:62">
      <c r="A47" s="82"/>
      <c r="B47" s="15" t="s">
        <v>131</v>
      </c>
      <c r="C47" s="372" t="s">
        <v>68</v>
      </c>
      <c r="D47" s="15" t="s">
        <v>59</v>
      </c>
      <c r="E47" s="17" t="s">
        <v>109</v>
      </c>
      <c r="F47" s="18" t="s">
        <v>127</v>
      </c>
      <c r="G47" s="345">
        <v>4.4</v>
      </c>
      <c r="H47" s="20">
        <v>4.23</v>
      </c>
      <c r="I47" s="105">
        <f t="shared" si="0"/>
        <v>0.83</v>
      </c>
      <c r="J47" s="109"/>
      <c r="K47" s="402"/>
      <c r="L47" s="434"/>
      <c r="M47" s="153">
        <v>15</v>
      </c>
      <c r="N47" s="154"/>
      <c r="O47" s="400">
        <f t="shared" si="34"/>
        <v>15</v>
      </c>
      <c r="P47" s="401">
        <f t="shared" si="58"/>
        <v>0</v>
      </c>
      <c r="Q47" s="421">
        <f t="shared" si="59"/>
        <v>0</v>
      </c>
      <c r="R47" s="421">
        <f t="shared" si="67"/>
        <v>0</v>
      </c>
      <c r="S47" s="421">
        <f t="shared" si="61"/>
        <v>62381.925</v>
      </c>
      <c r="T47" s="421"/>
      <c r="U47" s="421">
        <f t="shared" si="14"/>
        <v>62381.925</v>
      </c>
      <c r="V47" s="422">
        <v>25</v>
      </c>
      <c r="W47" s="421">
        <f t="shared" si="15"/>
        <v>15595.48125</v>
      </c>
      <c r="X47" s="421">
        <f t="shared" si="16"/>
        <v>77977.40625</v>
      </c>
      <c r="Y47" s="373"/>
      <c r="Z47" s="421"/>
      <c r="AA47" s="448"/>
      <c r="AB47" s="401"/>
      <c r="AC47" s="421"/>
      <c r="AD47" s="366"/>
      <c r="AE47" s="400"/>
      <c r="AF47" s="401"/>
      <c r="AG47" s="154">
        <v>5</v>
      </c>
      <c r="AH47" s="449">
        <f t="shared" si="5"/>
        <v>983.166666666667</v>
      </c>
      <c r="AI47" s="373"/>
      <c r="AJ47" s="421">
        <f t="shared" si="17"/>
        <v>0</v>
      </c>
      <c r="AK47" s="423">
        <f t="shared" si="18"/>
        <v>5</v>
      </c>
      <c r="AL47" s="421">
        <f t="shared" si="19"/>
        <v>983.166666666667</v>
      </c>
      <c r="AM47" s="400"/>
      <c r="AN47" s="401"/>
      <c r="AO47" s="373">
        <v>0.5</v>
      </c>
      <c r="AP47" s="402">
        <f t="shared" si="7"/>
        <v>2654.55</v>
      </c>
      <c r="AQ47" s="400"/>
      <c r="AR47" s="400">
        <v>0</v>
      </c>
      <c r="AS47" s="400"/>
      <c r="AT47" s="401">
        <f t="shared" si="21"/>
        <v>0</v>
      </c>
      <c r="AU47" s="400"/>
      <c r="AV47" s="400">
        <v>0</v>
      </c>
      <c r="AW47" s="400"/>
      <c r="AX47" s="401">
        <f t="shared" si="23"/>
        <v>0</v>
      </c>
      <c r="AY47" s="400"/>
      <c r="AZ47" s="449">
        <f t="shared" si="24"/>
        <v>0</v>
      </c>
      <c r="BA47" s="400"/>
      <c r="BB47" s="401">
        <f t="shared" si="25"/>
        <v>0</v>
      </c>
      <c r="BC47" s="400"/>
      <c r="BD47" s="449">
        <f t="shared" si="32"/>
        <v>0</v>
      </c>
      <c r="BE47" s="401">
        <f t="shared" si="26"/>
        <v>6238.1925</v>
      </c>
      <c r="BF47" s="362">
        <f t="shared" si="27"/>
        <v>9875.90916666667</v>
      </c>
      <c r="BG47" s="421">
        <f t="shared" si="28"/>
        <v>87853.3154166667</v>
      </c>
      <c r="BH47" s="421">
        <f t="shared" si="29"/>
        <v>1054239.785</v>
      </c>
      <c r="BI47" s="105">
        <f t="shared" si="30"/>
        <v>0.83</v>
      </c>
      <c r="BJ47" s="430">
        <f t="shared" si="31"/>
        <v>77665.496625</v>
      </c>
    </row>
    <row r="48" s="347" customFormat="1" ht="33.75" customHeight="1" spans="1:62">
      <c r="A48" s="82">
        <v>12</v>
      </c>
      <c r="B48" s="48" t="s">
        <v>132</v>
      </c>
      <c r="C48" s="373"/>
      <c r="D48" s="373"/>
      <c r="E48" s="373"/>
      <c r="F48" s="374"/>
      <c r="G48" s="373"/>
      <c r="H48" s="373"/>
      <c r="I48" s="48">
        <f>SUM(I34:I47)</f>
        <v>11.72</v>
      </c>
      <c r="J48" s="48">
        <f t="shared" ref="J48:BJ48" si="69">SUM(J34:J47)</f>
        <v>0</v>
      </c>
      <c r="K48" s="48">
        <f t="shared" si="69"/>
        <v>4</v>
      </c>
      <c r="L48" s="48">
        <f t="shared" si="69"/>
        <v>46</v>
      </c>
      <c r="M48" s="48">
        <f t="shared" si="69"/>
        <v>137</v>
      </c>
      <c r="N48" s="48">
        <f t="shared" si="69"/>
        <v>25</v>
      </c>
      <c r="O48" s="48">
        <f t="shared" si="69"/>
        <v>208</v>
      </c>
      <c r="P48" s="48">
        <f t="shared" si="69"/>
        <v>0</v>
      </c>
      <c r="Q48" s="48">
        <f t="shared" si="69"/>
        <v>13538.205</v>
      </c>
      <c r="R48" s="48">
        <f t="shared" si="69"/>
        <v>208696.788333333</v>
      </c>
      <c r="S48" s="48">
        <f t="shared" si="69"/>
        <v>591069.968333333</v>
      </c>
      <c r="T48" s="48">
        <f t="shared" si="69"/>
        <v>109219.985</v>
      </c>
      <c r="U48" s="48">
        <f t="shared" si="69"/>
        <v>922524.946666667</v>
      </c>
      <c r="V48" s="48">
        <f t="shared" si="69"/>
        <v>350</v>
      </c>
      <c r="W48" s="48">
        <f t="shared" si="69"/>
        <v>230631.236666667</v>
      </c>
      <c r="X48" s="48">
        <f t="shared" si="69"/>
        <v>1153156.18333333</v>
      </c>
      <c r="Y48" s="48">
        <f t="shared" si="69"/>
        <v>3.5</v>
      </c>
      <c r="Z48" s="48">
        <f t="shared" si="69"/>
        <v>860.270833333333</v>
      </c>
      <c r="AA48" s="48">
        <f t="shared" si="69"/>
        <v>20</v>
      </c>
      <c r="AB48" s="48">
        <f t="shared" si="69"/>
        <v>4915.83333333333</v>
      </c>
      <c r="AC48" s="48">
        <f t="shared" si="69"/>
        <v>12</v>
      </c>
      <c r="AD48" s="48">
        <f t="shared" si="69"/>
        <v>2949.5</v>
      </c>
      <c r="AE48" s="48">
        <f t="shared" si="69"/>
        <v>1</v>
      </c>
      <c r="AF48" s="48">
        <f t="shared" si="69"/>
        <v>196.633333333333</v>
      </c>
      <c r="AG48" s="48">
        <f t="shared" si="69"/>
        <v>18.25</v>
      </c>
      <c r="AH48" s="48">
        <f t="shared" si="69"/>
        <v>3588.55833333333</v>
      </c>
      <c r="AI48" s="48">
        <f t="shared" si="69"/>
        <v>2</v>
      </c>
      <c r="AJ48" s="48">
        <f t="shared" si="69"/>
        <v>393.266666666667</v>
      </c>
      <c r="AK48" s="48">
        <f t="shared" si="69"/>
        <v>56.75</v>
      </c>
      <c r="AL48" s="48">
        <f t="shared" si="69"/>
        <v>12904.0625</v>
      </c>
      <c r="AM48" s="48">
        <f t="shared" si="69"/>
        <v>0.5</v>
      </c>
      <c r="AN48" s="48">
        <f t="shared" si="69"/>
        <v>2212.125</v>
      </c>
      <c r="AO48" s="48">
        <f t="shared" si="69"/>
        <v>2.5</v>
      </c>
      <c r="AP48" s="48">
        <f t="shared" si="69"/>
        <v>13272.75</v>
      </c>
      <c r="AQ48" s="48">
        <f t="shared" si="69"/>
        <v>0</v>
      </c>
      <c r="AR48" s="48">
        <f t="shared" si="69"/>
        <v>0</v>
      </c>
      <c r="AS48" s="48">
        <f t="shared" si="69"/>
        <v>0</v>
      </c>
      <c r="AT48" s="48">
        <f t="shared" si="69"/>
        <v>0</v>
      </c>
      <c r="AU48" s="48">
        <f t="shared" si="69"/>
        <v>0</v>
      </c>
      <c r="AV48" s="48">
        <f t="shared" si="69"/>
        <v>0</v>
      </c>
      <c r="AW48" s="48">
        <f t="shared" si="69"/>
        <v>0</v>
      </c>
      <c r="AX48" s="48">
        <f t="shared" si="69"/>
        <v>0</v>
      </c>
      <c r="AY48" s="48">
        <f t="shared" si="69"/>
        <v>0</v>
      </c>
      <c r="AZ48" s="48">
        <f t="shared" si="69"/>
        <v>0</v>
      </c>
      <c r="BA48" s="48">
        <f t="shared" si="69"/>
        <v>0</v>
      </c>
      <c r="BB48" s="48">
        <f t="shared" si="69"/>
        <v>0</v>
      </c>
      <c r="BC48" s="48">
        <f t="shared" si="69"/>
        <v>0</v>
      </c>
      <c r="BD48" s="48">
        <f t="shared" si="69"/>
        <v>0</v>
      </c>
      <c r="BE48" s="48">
        <f t="shared" si="69"/>
        <v>92252.4946666667</v>
      </c>
      <c r="BF48" s="48">
        <f t="shared" si="69"/>
        <v>120641.432166667</v>
      </c>
      <c r="BG48" s="48">
        <f t="shared" si="69"/>
        <v>1273797.6155</v>
      </c>
      <c r="BH48" s="48">
        <f t="shared" si="69"/>
        <v>15285571.386</v>
      </c>
      <c r="BI48" s="48">
        <f t="shared" si="69"/>
        <v>11.72</v>
      </c>
      <c r="BJ48" s="48">
        <f t="shared" si="69"/>
        <v>1152972.82275</v>
      </c>
    </row>
    <row r="49" s="347" customFormat="1" ht="33.75" customHeight="1" spans="1:62">
      <c r="A49" s="375"/>
      <c r="B49" s="15" t="s">
        <v>133</v>
      </c>
      <c r="C49" s="15" t="s">
        <v>134</v>
      </c>
      <c r="D49" s="15" t="s">
        <v>135</v>
      </c>
      <c r="E49" s="85" t="s">
        <v>136</v>
      </c>
      <c r="F49" s="18" t="s">
        <v>80</v>
      </c>
      <c r="G49" s="143">
        <v>31.2</v>
      </c>
      <c r="H49" s="20">
        <v>4.39</v>
      </c>
      <c r="I49" s="105">
        <f t="shared" si="0"/>
        <v>0.92</v>
      </c>
      <c r="J49" s="146"/>
      <c r="K49" s="409">
        <v>22</v>
      </c>
      <c r="L49" s="438"/>
      <c r="M49" s="438"/>
      <c r="N49" s="373"/>
      <c r="O49" s="400">
        <v>22</v>
      </c>
      <c r="P49" s="401">
        <f>SUM(($H$4*H49)/24)*J49</f>
        <v>0</v>
      </c>
      <c r="Q49" s="421">
        <f>SUM(($H$4*H49)/24)*K49</f>
        <v>71215.6775</v>
      </c>
      <c r="R49" s="421">
        <f>($H$4*H49)/18*L49</f>
        <v>0</v>
      </c>
      <c r="S49" s="421">
        <f>($H$4*H49)*M49/18</f>
        <v>0</v>
      </c>
      <c r="T49" s="421">
        <f>($H$4*H49)/18*N49</f>
        <v>0</v>
      </c>
      <c r="U49" s="421">
        <f>SUM(P49:T49)</f>
        <v>71215.6775</v>
      </c>
      <c r="V49" s="422">
        <v>25</v>
      </c>
      <c r="W49" s="421">
        <f>(U49*V49)/100</f>
        <v>17803.919375</v>
      </c>
      <c r="X49" s="421">
        <f>SUM(U49,W49)</f>
        <v>89019.596875</v>
      </c>
      <c r="Y49" s="373"/>
      <c r="Z49" s="421">
        <f t="shared" si="1"/>
        <v>0</v>
      </c>
      <c r="AA49" s="373"/>
      <c r="AB49" s="366">
        <f>SUM(($H$4*0.25)/18)*AA49</f>
        <v>0</v>
      </c>
      <c r="AC49" s="373"/>
      <c r="AD49" s="366">
        <f t="shared" si="63"/>
        <v>0</v>
      </c>
      <c r="AE49" s="373"/>
      <c r="AF49" s="401">
        <f t="shared" si="4"/>
        <v>0</v>
      </c>
      <c r="AG49" s="373"/>
      <c r="AH49" s="449">
        <f t="shared" si="5"/>
        <v>0</v>
      </c>
      <c r="AI49" s="373">
        <v>0</v>
      </c>
      <c r="AJ49" s="400">
        <f t="shared" si="68"/>
        <v>0</v>
      </c>
      <c r="AK49" s="412">
        <f t="shared" ref="AK49:AK53" si="70">SUM(Y49,AA49,AC49,AE49,AG49,AI49)</f>
        <v>0</v>
      </c>
      <c r="AL49" s="401">
        <f>SUM(Z49,AB49,AD49,AF49,AH49,AJ49)</f>
        <v>0</v>
      </c>
      <c r="AM49" s="373"/>
      <c r="AN49" s="401">
        <f t="shared" si="6"/>
        <v>0</v>
      </c>
      <c r="AO49" s="373"/>
      <c r="AP49" s="402">
        <f t="shared" ref="AP49:AP52" si="71">SUM($H$4*0.3)*AO49</f>
        <v>0</v>
      </c>
      <c r="AQ49" s="373"/>
      <c r="AR49" s="401">
        <f>SUM($H$4*0.2*AQ49)</f>
        <v>0</v>
      </c>
      <c r="AS49" s="154"/>
      <c r="AT49" s="401">
        <f>SUM($H$4*$H49*AS49/18)</f>
        <v>0</v>
      </c>
      <c r="AU49" s="422"/>
      <c r="AV49" s="401">
        <f>SUM($H$4*$H49*AU49/18)*0.7</f>
        <v>0</v>
      </c>
      <c r="AW49" s="459"/>
      <c r="AX49" s="401">
        <f>SUM($H$4*$H49*AW49/18)*0.3</f>
        <v>0</v>
      </c>
      <c r="AY49" s="154"/>
      <c r="AZ49" s="449">
        <f>SUM(($H$4*0.25)/18)*AY49</f>
        <v>0</v>
      </c>
      <c r="BA49" s="366"/>
      <c r="BB49" s="401">
        <f>SUM($H$4*0.2)*BA49</f>
        <v>0</v>
      </c>
      <c r="BC49" s="366"/>
      <c r="BD49" s="449">
        <f>((($H$4*BC49)/100)*20)/100</f>
        <v>0</v>
      </c>
      <c r="BE49" s="401">
        <f>SUM(U49*0.1)</f>
        <v>7121.56775</v>
      </c>
      <c r="BF49" s="362">
        <f>AL49+AN49+AP49+AT49+AV49+AX49+AZ49+BB49+BD49+BE49+AR49</f>
        <v>7121.56775</v>
      </c>
      <c r="BG49" s="421">
        <f>X49+BF49</f>
        <v>96141.164625</v>
      </c>
      <c r="BH49" s="421">
        <f t="shared" si="29"/>
        <v>1153693.9755</v>
      </c>
      <c r="BI49" s="105">
        <f t="shared" si="30"/>
        <v>0.92</v>
      </c>
      <c r="BJ49" s="430">
        <f t="shared" ref="BJ49:BJ52" si="72">SUM(($H$4*H49)+(($H$4*H49*V49)/100))*BI49</f>
        <v>89343.3045</v>
      </c>
    </row>
    <row r="50" s="347" customFormat="1" ht="33.75" customHeight="1" spans="1:62">
      <c r="A50" s="376"/>
      <c r="B50" s="15" t="s">
        <v>137</v>
      </c>
      <c r="C50" s="15" t="s">
        <v>58</v>
      </c>
      <c r="D50" s="15" t="s">
        <v>135</v>
      </c>
      <c r="E50" s="85" t="s">
        <v>136</v>
      </c>
      <c r="F50" s="18" t="s">
        <v>127</v>
      </c>
      <c r="G50" s="143">
        <v>35.2</v>
      </c>
      <c r="H50" s="20">
        <v>4.39</v>
      </c>
      <c r="I50" s="105">
        <f t="shared" si="0"/>
        <v>1</v>
      </c>
      <c r="J50" s="146"/>
      <c r="K50" s="409"/>
      <c r="L50" s="438">
        <v>18</v>
      </c>
      <c r="M50" s="438"/>
      <c r="N50" s="373"/>
      <c r="O50" s="400">
        <f>SUM(K50:N50)</f>
        <v>18</v>
      </c>
      <c r="P50" s="401">
        <v>0</v>
      </c>
      <c r="Q50" s="421">
        <f t="shared" ref="Q50:Q52" si="73">SUM(($H$4*H50)/24)*K50</f>
        <v>0</v>
      </c>
      <c r="R50" s="421">
        <f t="shared" ref="R50:R52" si="74">($H$4*H50)/18*L50</f>
        <v>77689.83</v>
      </c>
      <c r="S50" s="421">
        <f t="shared" ref="S50:S52" si="75">($H$4*H50)*M50/18</f>
        <v>0</v>
      </c>
      <c r="T50" s="421">
        <f t="shared" ref="T50:T52" si="76">($H$4*H50)/18*N50</f>
        <v>0</v>
      </c>
      <c r="U50" s="421">
        <f t="shared" ref="U50:U52" si="77">SUM(P50:T50)</f>
        <v>77689.83</v>
      </c>
      <c r="V50" s="422">
        <v>25</v>
      </c>
      <c r="W50" s="421">
        <f t="shared" ref="W50:W52" si="78">(U50*V50)/100</f>
        <v>19422.4575</v>
      </c>
      <c r="X50" s="421">
        <f t="shared" ref="X50:X52" si="79">SUM(U50,W50)</f>
        <v>97112.2875</v>
      </c>
      <c r="Y50" s="373">
        <v>1</v>
      </c>
      <c r="Z50" s="421">
        <f t="shared" si="1"/>
        <v>245.791666666667</v>
      </c>
      <c r="AA50" s="373"/>
      <c r="AB50" s="366">
        <f t="shared" ref="AB50:AB52" si="80">SUM(($H$4*0.25)/18)*AA50</f>
        <v>0</v>
      </c>
      <c r="AC50" s="373"/>
      <c r="AD50" s="366">
        <f t="shared" si="63"/>
        <v>0</v>
      </c>
      <c r="AE50" s="373">
        <v>1.25</v>
      </c>
      <c r="AF50" s="401">
        <f t="shared" si="4"/>
        <v>245.791666666667</v>
      </c>
      <c r="AG50" s="373"/>
      <c r="AH50" s="449">
        <f t="shared" si="5"/>
        <v>0</v>
      </c>
      <c r="AI50" s="373">
        <v>0</v>
      </c>
      <c r="AJ50" s="400">
        <f t="shared" si="68"/>
        <v>245.791666666667</v>
      </c>
      <c r="AK50" s="412">
        <f t="shared" si="70"/>
        <v>2.25</v>
      </c>
      <c r="AL50" s="401">
        <f t="shared" ref="AL50:AL52" si="81">SUM(Z50,AB50,AD50,AF50,AH50,AJ50)</f>
        <v>737.375</v>
      </c>
      <c r="AM50" s="373"/>
      <c r="AN50" s="401">
        <f t="shared" si="6"/>
        <v>0</v>
      </c>
      <c r="AO50" s="373"/>
      <c r="AP50" s="402">
        <f t="shared" si="71"/>
        <v>0</v>
      </c>
      <c r="AQ50" s="373"/>
      <c r="AR50" s="401">
        <f t="shared" ref="AR50:AR52" si="82">SUM($H$4*0.2*AQ50)</f>
        <v>0</v>
      </c>
      <c r="AS50" s="154"/>
      <c r="AT50" s="401"/>
      <c r="AU50" s="422"/>
      <c r="AV50" s="401"/>
      <c r="AW50" s="459"/>
      <c r="AX50" s="401"/>
      <c r="AY50" s="154"/>
      <c r="AZ50" s="449"/>
      <c r="BA50" s="366"/>
      <c r="BB50" s="401"/>
      <c r="BC50" s="366"/>
      <c r="BD50" s="449"/>
      <c r="BE50" s="401">
        <f t="shared" ref="BE50:BE52" si="83">SUM(U50*0.1)</f>
        <v>7768.983</v>
      </c>
      <c r="BF50" s="362">
        <f t="shared" ref="BF50:BF52" si="84">AL50+AN50+AP50+AT50+AV50+AX50+AZ50+BB50+BD50+BE50+AR50</f>
        <v>8506.358</v>
      </c>
      <c r="BG50" s="421">
        <f t="shared" ref="BG50:BG52" si="85">X50+BF50</f>
        <v>105618.6455</v>
      </c>
      <c r="BH50" s="421">
        <f t="shared" si="29"/>
        <v>1267423.746</v>
      </c>
      <c r="BI50" s="105">
        <f t="shared" si="30"/>
        <v>1</v>
      </c>
      <c r="BJ50" s="430">
        <f t="shared" si="72"/>
        <v>97112.2875</v>
      </c>
    </row>
    <row r="51" s="345" customFormat="1" ht="33.75" customHeight="1" spans="1:62">
      <c r="A51" s="376"/>
      <c r="B51" s="15" t="s">
        <v>138</v>
      </c>
      <c r="C51" s="15" t="s">
        <v>139</v>
      </c>
      <c r="D51" s="15" t="s">
        <v>135</v>
      </c>
      <c r="E51" s="85" t="s">
        <v>136</v>
      </c>
      <c r="F51" s="18" t="s">
        <v>127</v>
      </c>
      <c r="G51" s="86" t="s">
        <v>130</v>
      </c>
      <c r="H51" s="377">
        <v>3.32</v>
      </c>
      <c r="I51" s="105">
        <f t="shared" si="0"/>
        <v>1.22</v>
      </c>
      <c r="J51" s="146"/>
      <c r="K51" s="409"/>
      <c r="L51" s="438">
        <v>4</v>
      </c>
      <c r="M51" s="438">
        <v>18</v>
      </c>
      <c r="N51" s="373"/>
      <c r="O51" s="400">
        <f>SUM(K51:N51)</f>
        <v>22</v>
      </c>
      <c r="P51" s="401">
        <v>0</v>
      </c>
      <c r="Q51" s="421">
        <f t="shared" si="73"/>
        <v>0</v>
      </c>
      <c r="R51" s="421">
        <f t="shared" si="74"/>
        <v>13056.4533333333</v>
      </c>
      <c r="S51" s="421">
        <f t="shared" si="75"/>
        <v>58754.04</v>
      </c>
      <c r="T51" s="421">
        <f t="shared" si="76"/>
        <v>0</v>
      </c>
      <c r="U51" s="421">
        <f t="shared" si="77"/>
        <v>71810.4933333333</v>
      </c>
      <c r="V51" s="422">
        <v>25</v>
      </c>
      <c r="W51" s="421">
        <f t="shared" si="78"/>
        <v>17952.6233333333</v>
      </c>
      <c r="X51" s="421">
        <f t="shared" si="79"/>
        <v>89763.1166666667</v>
      </c>
      <c r="Y51" s="373"/>
      <c r="Z51" s="421">
        <f t="shared" si="1"/>
        <v>0</v>
      </c>
      <c r="AA51" s="373"/>
      <c r="AB51" s="366">
        <f t="shared" si="80"/>
        <v>0</v>
      </c>
      <c r="AC51" s="373"/>
      <c r="AD51" s="366">
        <f t="shared" si="63"/>
        <v>0</v>
      </c>
      <c r="AE51" s="373"/>
      <c r="AF51" s="401">
        <f t="shared" si="4"/>
        <v>0</v>
      </c>
      <c r="AG51" s="373"/>
      <c r="AH51" s="449">
        <f t="shared" si="5"/>
        <v>0</v>
      </c>
      <c r="AI51" s="373">
        <v>0</v>
      </c>
      <c r="AJ51" s="400">
        <f t="shared" si="68"/>
        <v>0</v>
      </c>
      <c r="AK51" s="412">
        <f t="shared" si="70"/>
        <v>0</v>
      </c>
      <c r="AL51" s="401">
        <f t="shared" si="81"/>
        <v>0</v>
      </c>
      <c r="AM51" s="373"/>
      <c r="AN51" s="401">
        <f t="shared" si="6"/>
        <v>0</v>
      </c>
      <c r="AO51" s="373">
        <v>0.5</v>
      </c>
      <c r="AP51" s="402">
        <f t="shared" si="71"/>
        <v>2654.55</v>
      </c>
      <c r="AQ51" s="373"/>
      <c r="AR51" s="401">
        <f t="shared" si="82"/>
        <v>0</v>
      </c>
      <c r="AS51" s="154"/>
      <c r="AT51" s="401"/>
      <c r="AU51" s="422"/>
      <c r="AV51" s="401"/>
      <c r="AW51" s="459"/>
      <c r="AX51" s="401"/>
      <c r="AY51" s="154"/>
      <c r="AZ51" s="449"/>
      <c r="BA51" s="366"/>
      <c r="BB51" s="401"/>
      <c r="BC51" s="366"/>
      <c r="BD51" s="449"/>
      <c r="BE51" s="401">
        <f t="shared" si="83"/>
        <v>7181.04933333333</v>
      </c>
      <c r="BF51" s="362">
        <f t="shared" si="84"/>
        <v>9835.59933333333</v>
      </c>
      <c r="BG51" s="421">
        <f t="shared" si="85"/>
        <v>99598.716</v>
      </c>
      <c r="BH51" s="421">
        <f t="shared" si="29"/>
        <v>1195184.592</v>
      </c>
      <c r="BI51" s="105">
        <f t="shared" si="30"/>
        <v>1.22</v>
      </c>
      <c r="BJ51" s="430">
        <f t="shared" si="72"/>
        <v>89599.911</v>
      </c>
    </row>
    <row r="52" s="345" customFormat="1" ht="34.5" customHeight="1" spans="1:62">
      <c r="A52" s="82">
        <v>1</v>
      </c>
      <c r="B52" s="15" t="s">
        <v>140</v>
      </c>
      <c r="C52" s="15" t="s">
        <v>134</v>
      </c>
      <c r="D52" s="15" t="s">
        <v>135</v>
      </c>
      <c r="E52" s="17" t="s">
        <v>136</v>
      </c>
      <c r="F52" s="18">
        <v>1</v>
      </c>
      <c r="G52" s="86">
        <v>32</v>
      </c>
      <c r="H52" s="20">
        <v>4.39</v>
      </c>
      <c r="I52" s="105">
        <f t="shared" si="0"/>
        <v>0.92</v>
      </c>
      <c r="J52" s="180"/>
      <c r="K52" s="409">
        <v>22</v>
      </c>
      <c r="L52" s="438"/>
      <c r="M52" s="438"/>
      <c r="N52" s="373"/>
      <c r="O52" s="400">
        <v>22</v>
      </c>
      <c r="P52" s="401">
        <f>SUM(($H$4*H52)/24)*J52</f>
        <v>0</v>
      </c>
      <c r="Q52" s="421">
        <f t="shared" si="73"/>
        <v>71215.6775</v>
      </c>
      <c r="R52" s="421">
        <f t="shared" si="74"/>
        <v>0</v>
      </c>
      <c r="S52" s="421">
        <f t="shared" si="75"/>
        <v>0</v>
      </c>
      <c r="T52" s="421">
        <f t="shared" si="76"/>
        <v>0</v>
      </c>
      <c r="U52" s="421">
        <f t="shared" si="77"/>
        <v>71215.6775</v>
      </c>
      <c r="V52" s="422">
        <v>25</v>
      </c>
      <c r="W52" s="421">
        <f t="shared" si="78"/>
        <v>17803.919375</v>
      </c>
      <c r="X52" s="421">
        <f t="shared" si="79"/>
        <v>89019.596875</v>
      </c>
      <c r="Y52" s="373"/>
      <c r="Z52" s="421">
        <f t="shared" si="1"/>
        <v>0</v>
      </c>
      <c r="AA52" s="373"/>
      <c r="AB52" s="401">
        <f t="shared" si="80"/>
        <v>0</v>
      </c>
      <c r="AC52" s="373"/>
      <c r="AD52" s="366">
        <f t="shared" si="63"/>
        <v>0</v>
      </c>
      <c r="AE52" s="373"/>
      <c r="AF52" s="401">
        <f t="shared" si="4"/>
        <v>0</v>
      </c>
      <c r="AG52" s="373"/>
      <c r="AH52" s="449">
        <f t="shared" si="5"/>
        <v>0</v>
      </c>
      <c r="AI52" s="373">
        <v>0</v>
      </c>
      <c r="AJ52" s="449">
        <f>SUM(($H$4*0.2)/18)*AI52</f>
        <v>0</v>
      </c>
      <c r="AK52" s="412">
        <f t="shared" si="70"/>
        <v>0</v>
      </c>
      <c r="AL52" s="401">
        <f t="shared" si="81"/>
        <v>0</v>
      </c>
      <c r="AM52" s="373"/>
      <c r="AN52" s="448">
        <f t="shared" si="6"/>
        <v>0</v>
      </c>
      <c r="AO52" s="373"/>
      <c r="AP52" s="402">
        <f t="shared" si="71"/>
        <v>0</v>
      </c>
      <c r="AQ52" s="373"/>
      <c r="AR52" s="401">
        <f t="shared" si="82"/>
        <v>0</v>
      </c>
      <c r="AS52" s="154"/>
      <c r="AT52" s="401">
        <f>SUM($H$4*$H52*AS52/18)</f>
        <v>0</v>
      </c>
      <c r="AU52" s="422"/>
      <c r="AV52" s="401">
        <f>SUM($H$4*$H52*AU52/18)*0.7</f>
        <v>0</v>
      </c>
      <c r="AW52" s="459"/>
      <c r="AX52" s="401">
        <f>SUM($H$4*$H52*AW52/18)*0.3</f>
        <v>0</v>
      </c>
      <c r="AY52" s="154"/>
      <c r="AZ52" s="449">
        <f>SUM(($H$4*0.25)/18)*AY52</f>
        <v>0</v>
      </c>
      <c r="BA52" s="366"/>
      <c r="BB52" s="401">
        <f>SUM($H$4*0.2)*BA52</f>
        <v>0</v>
      </c>
      <c r="BC52" s="366"/>
      <c r="BD52" s="449">
        <f>((($H$4*BC52)/100)*20)/100</f>
        <v>0</v>
      </c>
      <c r="BE52" s="401">
        <f t="shared" si="83"/>
        <v>7121.56775</v>
      </c>
      <c r="BF52" s="362">
        <f t="shared" si="84"/>
        <v>7121.56775</v>
      </c>
      <c r="BG52" s="421">
        <f t="shared" si="85"/>
        <v>96141.164625</v>
      </c>
      <c r="BH52" s="421">
        <f t="shared" si="29"/>
        <v>1153693.9755</v>
      </c>
      <c r="BI52" s="105">
        <f t="shared" si="30"/>
        <v>0.92</v>
      </c>
      <c r="BJ52" s="430">
        <f t="shared" si="72"/>
        <v>89343.3045</v>
      </c>
    </row>
    <row r="53" s="345" customFormat="1" ht="34.5" customHeight="1" spans="1:63">
      <c r="A53" s="82">
        <v>2</v>
      </c>
      <c r="B53" s="48" t="s">
        <v>141</v>
      </c>
      <c r="C53" s="15"/>
      <c r="D53" s="15"/>
      <c r="E53" s="17"/>
      <c r="F53" s="18"/>
      <c r="G53" s="86"/>
      <c r="H53" s="16"/>
      <c r="I53" s="16">
        <f>SUM(I49:I52)</f>
        <v>4.06</v>
      </c>
      <c r="J53" s="16">
        <f t="shared" ref="J53:BJ53" si="86">SUM(J49:J52)</f>
        <v>0</v>
      </c>
      <c r="K53" s="16">
        <f t="shared" si="86"/>
        <v>44</v>
      </c>
      <c r="L53" s="15">
        <f t="shared" si="86"/>
        <v>22</v>
      </c>
      <c r="M53" s="15">
        <f t="shared" si="86"/>
        <v>18</v>
      </c>
      <c r="N53" s="16">
        <f t="shared" si="86"/>
        <v>0</v>
      </c>
      <c r="O53" s="16">
        <f t="shared" si="86"/>
        <v>84</v>
      </c>
      <c r="P53" s="16">
        <f t="shared" si="86"/>
        <v>0</v>
      </c>
      <c r="Q53" s="16">
        <f t="shared" si="86"/>
        <v>142431.355</v>
      </c>
      <c r="R53" s="16">
        <f t="shared" si="86"/>
        <v>90746.2833333333</v>
      </c>
      <c r="S53" s="16">
        <f t="shared" si="86"/>
        <v>58754.04</v>
      </c>
      <c r="T53" s="16">
        <f t="shared" si="86"/>
        <v>0</v>
      </c>
      <c r="U53" s="16">
        <f t="shared" si="86"/>
        <v>291931.678333333</v>
      </c>
      <c r="V53" s="16">
        <f t="shared" si="86"/>
        <v>100</v>
      </c>
      <c r="W53" s="16">
        <f t="shared" si="86"/>
        <v>72982.9195833333</v>
      </c>
      <c r="X53" s="16">
        <f t="shared" si="86"/>
        <v>364914.597916667</v>
      </c>
      <c r="Y53" s="16"/>
      <c r="Z53" s="421">
        <f t="shared" si="1"/>
        <v>0</v>
      </c>
      <c r="AA53" s="16">
        <f t="shared" si="86"/>
        <v>0</v>
      </c>
      <c r="AB53" s="16">
        <f t="shared" si="86"/>
        <v>0</v>
      </c>
      <c r="AC53" s="16">
        <f t="shared" si="86"/>
        <v>0</v>
      </c>
      <c r="AD53" s="16">
        <f t="shared" si="86"/>
        <v>0</v>
      </c>
      <c r="AE53" s="16"/>
      <c r="AF53" s="401">
        <f t="shared" si="4"/>
        <v>0</v>
      </c>
      <c r="AG53" s="16">
        <f t="shared" si="86"/>
        <v>0</v>
      </c>
      <c r="AH53" s="16">
        <f t="shared" si="86"/>
        <v>0</v>
      </c>
      <c r="AI53" s="16">
        <f t="shared" si="86"/>
        <v>0</v>
      </c>
      <c r="AJ53" s="449">
        <f>SUM(($H$4*0.2)/18)*AI53</f>
        <v>0</v>
      </c>
      <c r="AK53" s="412">
        <f t="shared" si="70"/>
        <v>0</v>
      </c>
      <c r="AL53" s="16">
        <f t="shared" si="86"/>
        <v>737.375</v>
      </c>
      <c r="AM53" s="16">
        <f t="shared" si="86"/>
        <v>0</v>
      </c>
      <c r="AN53" s="16">
        <f t="shared" si="86"/>
        <v>0</v>
      </c>
      <c r="AO53" s="16">
        <f t="shared" si="86"/>
        <v>0.5</v>
      </c>
      <c r="AP53" s="16">
        <f t="shared" si="86"/>
        <v>2654.55</v>
      </c>
      <c r="AQ53" s="16">
        <f t="shared" si="86"/>
        <v>0</v>
      </c>
      <c r="AR53" s="16">
        <f t="shared" si="86"/>
        <v>0</v>
      </c>
      <c r="AS53" s="16">
        <f t="shared" si="86"/>
        <v>0</v>
      </c>
      <c r="AT53" s="16">
        <f t="shared" si="86"/>
        <v>0</v>
      </c>
      <c r="AU53" s="16">
        <f t="shared" si="86"/>
        <v>0</v>
      </c>
      <c r="AV53" s="16">
        <f t="shared" si="86"/>
        <v>0</v>
      </c>
      <c r="AW53" s="16">
        <f t="shared" si="86"/>
        <v>0</v>
      </c>
      <c r="AX53" s="16">
        <f t="shared" si="86"/>
        <v>0</v>
      </c>
      <c r="AY53" s="16">
        <f t="shared" si="86"/>
        <v>0</v>
      </c>
      <c r="AZ53" s="16">
        <f t="shared" si="86"/>
        <v>0</v>
      </c>
      <c r="BA53" s="16">
        <f t="shared" si="86"/>
        <v>0</v>
      </c>
      <c r="BB53" s="16">
        <f t="shared" si="86"/>
        <v>0</v>
      </c>
      <c r="BC53" s="16">
        <f t="shared" si="86"/>
        <v>0</v>
      </c>
      <c r="BD53" s="16">
        <f t="shared" si="86"/>
        <v>0</v>
      </c>
      <c r="BE53" s="16">
        <f t="shared" si="86"/>
        <v>29193.1678333333</v>
      </c>
      <c r="BF53" s="20">
        <f t="shared" si="86"/>
        <v>32585.0928333333</v>
      </c>
      <c r="BG53" s="20">
        <f t="shared" si="86"/>
        <v>397499.69075</v>
      </c>
      <c r="BH53" s="20">
        <f t="shared" si="86"/>
        <v>4769996.289</v>
      </c>
      <c r="BI53" s="20">
        <f t="shared" si="86"/>
        <v>4.06</v>
      </c>
      <c r="BJ53" s="20">
        <f t="shared" si="86"/>
        <v>365398.8075</v>
      </c>
      <c r="BK53" s="77"/>
    </row>
    <row r="54" s="345" customFormat="1" ht="34.5" customHeight="1" spans="1:63">
      <c r="A54" s="378"/>
      <c r="B54" s="15" t="s">
        <v>142</v>
      </c>
      <c r="C54" s="15"/>
      <c r="D54" s="15"/>
      <c r="E54" s="15"/>
      <c r="F54" s="379"/>
      <c r="G54" s="15"/>
      <c r="H54" s="366"/>
      <c r="I54" s="380">
        <f>SUM(I15,I28,I33,I48,I53)</f>
        <v>37.73</v>
      </c>
      <c r="J54" s="380">
        <f>SUM(J15,J28,J33,J48,J53)</f>
        <v>0</v>
      </c>
      <c r="K54" s="380">
        <f>SUM(K15,K28,K33,K48,K53)</f>
        <v>48</v>
      </c>
      <c r="L54" s="380">
        <f>SUM(L15,L28,L33,L48,L53)</f>
        <v>221</v>
      </c>
      <c r="M54" s="380">
        <f t="shared" ref="M54:BJ54" si="87">SUM(M15,M28,M33,M48,M53)</f>
        <v>346</v>
      </c>
      <c r="N54" s="380">
        <f t="shared" si="87"/>
        <v>76</v>
      </c>
      <c r="O54" s="380">
        <f t="shared" si="87"/>
        <v>687</v>
      </c>
      <c r="P54" s="380">
        <f t="shared" si="87"/>
        <v>0</v>
      </c>
      <c r="Q54" s="380">
        <f t="shared" si="87"/>
        <v>155969.56</v>
      </c>
      <c r="R54" s="380">
        <f t="shared" si="87"/>
        <v>1055380.25833333</v>
      </c>
      <c r="S54" s="380">
        <f t="shared" si="87"/>
        <v>1611105.385</v>
      </c>
      <c r="T54" s="380">
        <f t="shared" si="87"/>
        <v>366283.6575</v>
      </c>
      <c r="U54" s="380">
        <f t="shared" si="87"/>
        <v>3188738.86083333</v>
      </c>
      <c r="V54" s="380">
        <f t="shared" si="87"/>
        <v>1000</v>
      </c>
      <c r="W54" s="380">
        <f t="shared" si="87"/>
        <v>797184.715208333</v>
      </c>
      <c r="X54" s="380">
        <f t="shared" si="87"/>
        <v>3985923.57604167</v>
      </c>
      <c r="Y54" s="380">
        <f t="shared" si="87"/>
        <v>29.5</v>
      </c>
      <c r="Z54" s="380">
        <f t="shared" si="87"/>
        <v>7250.85416666667</v>
      </c>
      <c r="AA54" s="380">
        <f t="shared" si="87"/>
        <v>47.5</v>
      </c>
      <c r="AB54" s="380">
        <f t="shared" si="87"/>
        <v>11675.1041666667</v>
      </c>
      <c r="AC54" s="380">
        <f t="shared" si="87"/>
        <v>15.625</v>
      </c>
      <c r="AD54" s="380">
        <f t="shared" si="87"/>
        <v>3656.15104166667</v>
      </c>
      <c r="AE54" s="380">
        <f t="shared" si="87"/>
        <v>13.25</v>
      </c>
      <c r="AF54" s="380">
        <f t="shared" si="87"/>
        <v>2605.39166666667</v>
      </c>
      <c r="AG54" s="380">
        <f t="shared" si="87"/>
        <v>123.546875</v>
      </c>
      <c r="AH54" s="380">
        <f t="shared" si="87"/>
        <v>6280.35208333333</v>
      </c>
      <c r="AI54" s="380">
        <f t="shared" si="87"/>
        <v>282.015625</v>
      </c>
      <c r="AJ54" s="380">
        <f t="shared" si="87"/>
        <v>55453.6723958333</v>
      </c>
      <c r="AK54" s="380">
        <f t="shared" si="87"/>
        <v>511.4375</v>
      </c>
      <c r="AL54" s="380">
        <f t="shared" si="87"/>
        <v>87658.9005208333</v>
      </c>
      <c r="AM54" s="380">
        <f t="shared" si="87"/>
        <v>4.5</v>
      </c>
      <c r="AN54" s="380">
        <f t="shared" si="87"/>
        <v>19909.125</v>
      </c>
      <c r="AO54" s="380">
        <f t="shared" si="87"/>
        <v>6.5</v>
      </c>
      <c r="AP54" s="380">
        <f t="shared" si="87"/>
        <v>34509.15</v>
      </c>
      <c r="AQ54" s="380">
        <f t="shared" si="87"/>
        <v>0</v>
      </c>
      <c r="AR54" s="380">
        <f t="shared" si="87"/>
        <v>0</v>
      </c>
      <c r="AS54" s="380">
        <f t="shared" si="87"/>
        <v>0</v>
      </c>
      <c r="AT54" s="380">
        <f t="shared" si="87"/>
        <v>0</v>
      </c>
      <c r="AU54" s="380">
        <f t="shared" si="87"/>
        <v>0</v>
      </c>
      <c r="AV54" s="380">
        <f t="shared" si="87"/>
        <v>0</v>
      </c>
      <c r="AW54" s="380">
        <f t="shared" si="87"/>
        <v>25</v>
      </c>
      <c r="AX54" s="380">
        <f t="shared" si="87"/>
        <v>36738.972</v>
      </c>
      <c r="AY54" s="380">
        <f t="shared" si="87"/>
        <v>0</v>
      </c>
      <c r="AZ54" s="380">
        <f t="shared" si="87"/>
        <v>0</v>
      </c>
      <c r="BA54" s="380">
        <f t="shared" si="87"/>
        <v>0</v>
      </c>
      <c r="BB54" s="380">
        <f t="shared" si="87"/>
        <v>0</v>
      </c>
      <c r="BC54" s="380">
        <f t="shared" si="87"/>
        <v>200</v>
      </c>
      <c r="BD54" s="380">
        <f t="shared" si="87"/>
        <v>7078.8</v>
      </c>
      <c r="BE54" s="380">
        <f t="shared" si="87"/>
        <v>318873.886083333</v>
      </c>
      <c r="BF54" s="380">
        <f t="shared" si="87"/>
        <v>504768.833604167</v>
      </c>
      <c r="BG54" s="380">
        <f t="shared" si="87"/>
        <v>4490692.40964583</v>
      </c>
      <c r="BH54" s="380">
        <f t="shared" si="87"/>
        <v>53888308.91575</v>
      </c>
      <c r="BI54" s="380">
        <f t="shared" si="87"/>
        <v>37.73</v>
      </c>
      <c r="BJ54" s="380">
        <f t="shared" si="87"/>
        <v>3986673.978</v>
      </c>
      <c r="BK54" s="77"/>
    </row>
    <row r="55" s="345" customFormat="1" ht="34.5" customHeight="1" spans="1:63">
      <c r="A55" s="381"/>
      <c r="B55" s="382"/>
      <c r="C55" s="382"/>
      <c r="D55" s="382"/>
      <c r="E55" s="382"/>
      <c r="F55" s="383"/>
      <c r="G55" s="382"/>
      <c r="H55" s="384"/>
      <c r="I55" s="414"/>
      <c r="J55" s="414"/>
      <c r="K55" s="414"/>
      <c r="L55" s="414"/>
      <c r="M55" s="414"/>
      <c r="N55" s="414"/>
      <c r="O55" s="414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415"/>
      <c r="BH55" s="348"/>
      <c r="BI55" s="391"/>
      <c r="BJ55" s="391"/>
      <c r="BK55" s="77"/>
    </row>
    <row r="56" s="345" customFormat="1" ht="18.75" customHeight="1" spans="1:63">
      <c r="A56" s="381"/>
      <c r="B56" s="382"/>
      <c r="C56" s="382"/>
      <c r="D56" s="382"/>
      <c r="E56" s="382"/>
      <c r="F56" s="383"/>
      <c r="G56" s="382"/>
      <c r="H56" s="384"/>
      <c r="I56" s="414"/>
      <c r="J56" s="414"/>
      <c r="K56" s="414"/>
      <c r="L56" s="414"/>
      <c r="M56" s="414"/>
      <c r="N56" s="414"/>
      <c r="O56" s="414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415"/>
      <c r="BH56" s="348"/>
      <c r="BI56" s="391"/>
      <c r="BJ56" s="391"/>
      <c r="BK56" s="77"/>
    </row>
    <row r="57" ht="18.75" customHeight="1" spans="1:62">
      <c r="A57" s="381"/>
      <c r="B57" s="382"/>
      <c r="C57" s="382"/>
      <c r="D57" s="382"/>
      <c r="E57" s="382"/>
      <c r="F57" s="385"/>
      <c r="G57" s="382"/>
      <c r="H57" s="382"/>
      <c r="I57" s="389"/>
      <c r="J57" s="389"/>
      <c r="K57" s="389"/>
      <c r="L57" s="389"/>
      <c r="M57" s="389"/>
      <c r="N57" s="389"/>
      <c r="O57" s="415"/>
      <c r="P57" s="387" t="s">
        <v>143</v>
      </c>
      <c r="Q57" s="387"/>
      <c r="R57" s="416"/>
      <c r="S57" s="388"/>
      <c r="T57" s="388"/>
      <c r="U57" s="388"/>
      <c r="V57" s="388"/>
      <c r="W57" s="388" t="s">
        <v>144</v>
      </c>
      <c r="X57" s="416"/>
      <c r="Y57" s="416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91"/>
      <c r="BJ57" s="391"/>
    </row>
    <row r="58" ht="38.25" customHeight="1" spans="1:62">
      <c r="A58" s="381"/>
      <c r="B58" s="386"/>
      <c r="C58" s="387" t="s">
        <v>145</v>
      </c>
      <c r="D58" s="387"/>
      <c r="E58" s="387"/>
      <c r="F58" s="387"/>
      <c r="G58" s="388"/>
      <c r="H58" s="389" t="s">
        <v>146</v>
      </c>
      <c r="I58" s="387"/>
      <c r="J58" s="387"/>
      <c r="K58" s="387"/>
      <c r="L58" s="387"/>
      <c r="M58" s="387"/>
      <c r="N58" s="387"/>
      <c r="O58" s="416"/>
      <c r="P58" s="387"/>
      <c r="Q58" s="387"/>
      <c r="R58" s="416"/>
      <c r="S58" s="388"/>
      <c r="T58" s="388"/>
      <c r="U58" s="388"/>
      <c r="V58" s="388"/>
      <c r="W58" s="388"/>
      <c r="X58" s="416"/>
      <c r="Y58" s="416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91"/>
      <c r="BJ58" s="391"/>
    </row>
    <row r="59" ht="38.25" customHeight="1" spans="1:62">
      <c r="A59" s="348"/>
      <c r="B59" s="381"/>
      <c r="C59" s="387"/>
      <c r="D59" s="387"/>
      <c r="E59" s="387"/>
      <c r="F59" s="387"/>
      <c r="G59" s="388"/>
      <c r="H59" s="389"/>
      <c r="I59" s="387"/>
      <c r="J59" s="387"/>
      <c r="K59" s="387"/>
      <c r="L59" s="387"/>
      <c r="M59" s="387"/>
      <c r="N59" s="387"/>
      <c r="O59" s="416"/>
      <c r="P59" s="387" t="s">
        <v>147</v>
      </c>
      <c r="Q59" s="387"/>
      <c r="R59" s="416"/>
      <c r="S59" s="388"/>
      <c r="T59" s="388"/>
      <c r="U59" s="388"/>
      <c r="V59" s="388"/>
      <c r="W59" s="388" t="s">
        <v>148</v>
      </c>
      <c r="X59" s="416"/>
      <c r="Y59" s="416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</row>
    <row r="60" ht="38.25" customHeight="1" spans="1:62">
      <c r="A60" s="348"/>
      <c r="B60" s="381"/>
      <c r="C60" s="388" t="s">
        <v>149</v>
      </c>
      <c r="D60" s="388"/>
      <c r="E60" s="388"/>
      <c r="F60" s="387"/>
      <c r="G60" s="388"/>
      <c r="H60" s="389" t="s">
        <v>150</v>
      </c>
      <c r="I60" s="387"/>
      <c r="J60" s="387"/>
      <c r="K60" s="387"/>
      <c r="L60" s="387"/>
      <c r="M60" s="387"/>
      <c r="N60" s="387"/>
      <c r="O60" s="416"/>
      <c r="P60" s="387"/>
      <c r="Q60" s="387"/>
      <c r="R60" s="416"/>
      <c r="S60" s="388"/>
      <c r="T60" s="388"/>
      <c r="U60" s="388"/>
      <c r="V60" s="388"/>
      <c r="W60" s="388"/>
      <c r="X60" s="416"/>
      <c r="Y60" s="416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</row>
    <row r="61" ht="18.75" customHeight="1" spans="1:62">
      <c r="A61" s="348"/>
      <c r="B61" s="381"/>
      <c r="C61" s="388"/>
      <c r="D61" s="388"/>
      <c r="E61" s="388"/>
      <c r="F61" s="388"/>
      <c r="G61" s="388"/>
      <c r="H61" s="390"/>
      <c r="I61" s="387"/>
      <c r="J61" s="387"/>
      <c r="K61" s="387"/>
      <c r="L61" s="387"/>
      <c r="M61" s="387"/>
      <c r="N61" s="387"/>
      <c r="O61" s="416"/>
      <c r="P61" s="387" t="s">
        <v>151</v>
      </c>
      <c r="Q61" s="387"/>
      <c r="R61" s="416"/>
      <c r="S61" s="388"/>
      <c r="T61" s="388"/>
      <c r="U61" s="388"/>
      <c r="V61" s="388"/>
      <c r="W61" s="388" t="s">
        <v>152</v>
      </c>
      <c r="X61" s="416"/>
      <c r="Y61" s="416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</row>
    <row r="62" ht="18.75" spans="1:62">
      <c r="A62" s="391"/>
      <c r="B62" s="381"/>
      <c r="C62" s="388" t="s">
        <v>153</v>
      </c>
      <c r="D62" s="388"/>
      <c r="E62" s="388"/>
      <c r="F62" s="387"/>
      <c r="G62" s="388"/>
      <c r="H62" s="389" t="s">
        <v>154</v>
      </c>
      <c r="I62" s="387"/>
      <c r="J62" s="387"/>
      <c r="K62" s="387"/>
      <c r="L62" s="387"/>
      <c r="M62" s="387"/>
      <c r="N62" s="387"/>
      <c r="O62" s="416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</row>
    <row r="63" ht="43.9" customHeight="1" spans="1:62">
      <c r="A63" s="391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91"/>
      <c r="P63" s="417" t="s">
        <v>155</v>
      </c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</row>
    <row r="64" ht="18.75" spans="1:62">
      <c r="A64" s="391"/>
      <c r="B64" s="348"/>
      <c r="C64" s="348"/>
      <c r="D64" s="348"/>
      <c r="E64" s="348"/>
      <c r="F64" s="348"/>
      <c r="G64" s="348"/>
      <c r="H64" s="348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</row>
    <row r="65" ht="18.75" spans="1:62">
      <c r="A65" s="391"/>
      <c r="B65" s="348"/>
      <c r="C65" s="348"/>
      <c r="D65" s="348"/>
      <c r="E65" s="348"/>
      <c r="F65" s="348"/>
      <c r="G65" s="348"/>
      <c r="H65" s="348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</row>
    <row r="66" ht="18.75" spans="1:62">
      <c r="A66" s="391"/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91"/>
      <c r="BD66" s="391"/>
      <c r="BE66" s="391"/>
      <c r="BF66" s="391"/>
      <c r="BG66" s="391"/>
      <c r="BH66" s="391"/>
      <c r="BI66" s="391"/>
      <c r="BJ66" s="391"/>
    </row>
    <row r="67" ht="18.75" spans="1:15">
      <c r="A67" s="391"/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</row>
  </sheetData>
  <mergeCells count="35">
    <mergeCell ref="B1:D1"/>
    <mergeCell ref="B2:L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P61:Q61"/>
    <mergeCell ref="A5:A7"/>
    <mergeCell ref="A17:A18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F6:BF7"/>
    <mergeCell ref="BG5:BG7"/>
    <mergeCell ref="BH5:BH7"/>
    <mergeCell ref="P5:U6"/>
    <mergeCell ref="BI5:BJ6"/>
  </mergeCells>
  <pageMargins left="0.708661417322835" right="0.708661417322835" top="0.748031496062992" bottom="0.748031496062992" header="0.31496062992126" footer="0.31496062992126"/>
  <pageSetup paperSize="9" scale="22" fitToWidth="2" orientation="landscape"/>
  <headerFooter/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0"/>
  <sheetViews>
    <sheetView tabSelected="1" zoomScale="70" zoomScaleNormal="70" workbookViewId="0">
      <selection activeCell="BH4" sqref="BH4"/>
    </sheetView>
  </sheetViews>
  <sheetFormatPr defaultColWidth="9" defaultRowHeight="12.75"/>
  <cols>
    <col min="2" max="2" width="19.5714285714286" customWidth="1"/>
    <col min="8" max="8" width="11.1428571428571" customWidth="1"/>
  </cols>
  <sheetData>
    <row r="1" ht="15.75" spans="1:63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15.75" spans="1:63">
      <c r="A2" s="1"/>
      <c r="B2" s="3" t="s">
        <v>361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ht="15.75" spans="1:63">
      <c r="A3" s="1"/>
      <c r="B3" s="2" t="s">
        <v>362</v>
      </c>
      <c r="C3" s="2"/>
      <c r="D3" s="2"/>
      <c r="E3" s="5"/>
      <c r="F3" s="5"/>
      <c r="G3" s="1"/>
      <c r="H3" s="1"/>
      <c r="I3" s="1"/>
      <c r="J3" s="1"/>
      <c r="K3" s="42" t="s">
        <v>363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ht="15.75" spans="1:63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>
        <v>2917</v>
      </c>
      <c r="BI4" s="6"/>
      <c r="BJ4" s="6"/>
      <c r="BK4" s="6"/>
    </row>
    <row r="5" ht="126" spans="1:64">
      <c r="A5" s="8" t="s">
        <v>5</v>
      </c>
      <c r="B5" s="8" t="s">
        <v>6</v>
      </c>
      <c r="C5" s="8" t="s">
        <v>7</v>
      </c>
      <c r="D5" s="8" t="s">
        <v>8</v>
      </c>
      <c r="E5" s="9" t="s">
        <v>9</v>
      </c>
      <c r="F5" s="10"/>
      <c r="G5" s="11"/>
      <c r="H5" s="11"/>
      <c r="I5" s="9" t="s">
        <v>10</v>
      </c>
      <c r="J5" s="44"/>
      <c r="K5" s="44"/>
      <c r="L5" s="44"/>
      <c r="M5" s="44"/>
      <c r="N5" s="44"/>
      <c r="O5" s="10"/>
      <c r="P5" s="45" t="s">
        <v>11</v>
      </c>
      <c r="Q5" s="55"/>
      <c r="R5" s="55"/>
      <c r="S5" s="55"/>
      <c r="T5" s="55"/>
      <c r="U5" s="56"/>
      <c r="V5" s="57" t="s">
        <v>12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71"/>
      <c r="BJ5" s="8" t="s">
        <v>13</v>
      </c>
      <c r="BK5" s="8" t="s">
        <v>14</v>
      </c>
      <c r="BL5" s="41"/>
    </row>
    <row r="6" ht="15.75" spans="1:64">
      <c r="A6" s="12"/>
      <c r="B6" s="12"/>
      <c r="C6" s="12"/>
      <c r="D6" s="12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9" t="s">
        <v>21</v>
      </c>
      <c r="K6" s="44"/>
      <c r="L6" s="44"/>
      <c r="M6" s="44"/>
      <c r="N6" s="44"/>
      <c r="O6" s="10"/>
      <c r="P6" s="46"/>
      <c r="Q6" s="59"/>
      <c r="R6" s="59"/>
      <c r="S6" s="59"/>
      <c r="T6" s="59"/>
      <c r="U6" s="60"/>
      <c r="V6" s="9" t="s">
        <v>22</v>
      </c>
      <c r="W6" s="10"/>
      <c r="X6" s="61" t="s">
        <v>23</v>
      </c>
      <c r="Y6" s="9" t="s">
        <v>24</v>
      </c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10"/>
      <c r="AL6" s="11"/>
      <c r="AM6" s="9" t="s">
        <v>25</v>
      </c>
      <c r="AN6" s="44"/>
      <c r="AO6" s="44"/>
      <c r="AP6" s="10"/>
      <c r="AQ6" s="9" t="s">
        <v>26</v>
      </c>
      <c r="AR6" s="10"/>
      <c r="AS6" s="9" t="s">
        <v>27</v>
      </c>
      <c r="AT6" s="10"/>
      <c r="AU6" s="9" t="s">
        <v>28</v>
      </c>
      <c r="AV6" s="10"/>
      <c r="AW6" s="9" t="s">
        <v>29</v>
      </c>
      <c r="AX6" s="10"/>
      <c r="AY6" s="9" t="s">
        <v>30</v>
      </c>
      <c r="AZ6" s="10"/>
      <c r="BA6" s="9" t="s">
        <v>31</v>
      </c>
      <c r="BB6" s="10"/>
      <c r="BC6" s="9" t="s">
        <v>32</v>
      </c>
      <c r="BD6" s="10"/>
      <c r="BE6" s="9" t="s">
        <v>348</v>
      </c>
      <c r="BF6" s="10"/>
      <c r="BG6" s="10"/>
      <c r="BH6" s="10" t="s">
        <v>364</v>
      </c>
      <c r="BI6" s="8" t="s">
        <v>34</v>
      </c>
      <c r="BJ6" s="12"/>
      <c r="BK6" s="12"/>
      <c r="BL6" s="41"/>
    </row>
    <row r="7" ht="112.5" spans="1:64">
      <c r="A7" s="13"/>
      <c r="B7" s="13"/>
      <c r="C7" s="13"/>
      <c r="D7" s="13"/>
      <c r="E7" s="13"/>
      <c r="F7" s="13"/>
      <c r="G7" s="13"/>
      <c r="H7" s="13"/>
      <c r="I7" s="13"/>
      <c r="J7" s="11" t="s">
        <v>35</v>
      </c>
      <c r="K7" s="11" t="s">
        <v>36</v>
      </c>
      <c r="L7" s="47" t="s">
        <v>37</v>
      </c>
      <c r="M7" s="47" t="s">
        <v>38</v>
      </c>
      <c r="N7" s="47" t="s">
        <v>39</v>
      </c>
      <c r="O7" s="11" t="s">
        <v>40</v>
      </c>
      <c r="P7" s="11" t="s">
        <v>35</v>
      </c>
      <c r="Q7" s="11" t="s">
        <v>36</v>
      </c>
      <c r="R7" s="11" t="s">
        <v>37</v>
      </c>
      <c r="S7" s="11" t="s">
        <v>38</v>
      </c>
      <c r="T7" s="11" t="s">
        <v>39</v>
      </c>
      <c r="U7" s="11" t="s">
        <v>41</v>
      </c>
      <c r="V7" s="11" t="s">
        <v>42</v>
      </c>
      <c r="W7" s="62" t="s">
        <v>43</v>
      </c>
      <c r="X7" s="63"/>
      <c r="Y7" s="11" t="s">
        <v>44</v>
      </c>
      <c r="Z7" s="11" t="s">
        <v>45</v>
      </c>
      <c r="AA7" s="11" t="s">
        <v>44</v>
      </c>
      <c r="AB7" s="11" t="s">
        <v>46</v>
      </c>
      <c r="AC7" s="11" t="s">
        <v>44</v>
      </c>
      <c r="AD7" s="11" t="s">
        <v>47</v>
      </c>
      <c r="AE7" s="11" t="s">
        <v>44</v>
      </c>
      <c r="AF7" s="11" t="s">
        <v>37</v>
      </c>
      <c r="AG7" s="11" t="s">
        <v>44</v>
      </c>
      <c r="AH7" s="11" t="s">
        <v>48</v>
      </c>
      <c r="AI7" s="11" t="s">
        <v>44</v>
      </c>
      <c r="AJ7" s="11" t="s">
        <v>39</v>
      </c>
      <c r="AK7" s="11" t="s">
        <v>49</v>
      </c>
      <c r="AL7" s="11" t="s">
        <v>50</v>
      </c>
      <c r="AM7" s="11" t="s">
        <v>51</v>
      </c>
      <c r="AN7" s="11" t="s">
        <v>52</v>
      </c>
      <c r="AO7" s="11" t="s">
        <v>51</v>
      </c>
      <c r="AP7" s="69" t="s">
        <v>53</v>
      </c>
      <c r="AQ7" s="11" t="s">
        <v>51</v>
      </c>
      <c r="AR7" s="11" t="s">
        <v>43</v>
      </c>
      <c r="AS7" s="11" t="s">
        <v>54</v>
      </c>
      <c r="AT7" s="11" t="s">
        <v>43</v>
      </c>
      <c r="AU7" s="11" t="s">
        <v>54</v>
      </c>
      <c r="AV7" s="11" t="s">
        <v>43</v>
      </c>
      <c r="AW7" s="11" t="s">
        <v>54</v>
      </c>
      <c r="AX7" s="11" t="s">
        <v>43</v>
      </c>
      <c r="AY7" s="11" t="s">
        <v>51</v>
      </c>
      <c r="AZ7" s="11" t="s">
        <v>43</v>
      </c>
      <c r="BA7" s="11" t="s">
        <v>55</v>
      </c>
      <c r="BB7" s="11" t="s">
        <v>43</v>
      </c>
      <c r="BC7" s="11" t="s">
        <v>42</v>
      </c>
      <c r="BD7" s="11" t="s">
        <v>43</v>
      </c>
      <c r="BE7" s="72" t="s">
        <v>339</v>
      </c>
      <c r="BF7" s="11" t="s">
        <v>43</v>
      </c>
      <c r="BG7" s="11" t="s">
        <v>339</v>
      </c>
      <c r="BH7" s="11"/>
      <c r="BI7" s="13"/>
      <c r="BJ7" s="13"/>
      <c r="BK7" s="13"/>
      <c r="BL7" s="41"/>
    </row>
    <row r="8" ht="15.75" spans="1:64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/>
      <c r="BF8" s="11">
        <v>57</v>
      </c>
      <c r="BG8" s="11"/>
      <c r="BH8" s="11"/>
      <c r="BI8" s="11">
        <v>58</v>
      </c>
      <c r="BJ8" s="11">
        <v>59</v>
      </c>
      <c r="BK8" s="11">
        <v>60</v>
      </c>
      <c r="BL8" s="41"/>
    </row>
    <row r="9" ht="18.75" spans="1:64">
      <c r="A9" s="14"/>
      <c r="B9" s="15"/>
      <c r="C9" s="16"/>
      <c r="D9" s="15"/>
      <c r="E9" s="17"/>
      <c r="F9" s="18"/>
      <c r="G9" s="19"/>
      <c r="H9" s="20"/>
      <c r="I9" s="48"/>
      <c r="J9" s="49"/>
      <c r="K9" s="49"/>
      <c r="L9" s="18"/>
      <c r="M9" s="18"/>
      <c r="N9" s="50"/>
      <c r="O9" s="51"/>
      <c r="P9" s="52"/>
      <c r="Q9" s="64"/>
      <c r="R9" s="64"/>
      <c r="S9" s="64"/>
      <c r="T9" s="64"/>
      <c r="U9" s="64"/>
      <c r="V9" s="65"/>
      <c r="W9" s="64"/>
      <c r="X9" s="64"/>
      <c r="Y9" s="65"/>
      <c r="Z9" s="64">
        <f>($H$4*0.25)*Y9/18</f>
        <v>0</v>
      </c>
      <c r="AA9" s="52"/>
      <c r="AB9" s="31">
        <f>SUM(($H$4*0.25)/18)*AA9</f>
        <v>0</v>
      </c>
      <c r="AC9" s="52"/>
      <c r="AD9" s="52">
        <f>SUM(($H$4*0.25)/18*AC9)</f>
        <v>0</v>
      </c>
      <c r="AE9" s="65"/>
      <c r="AF9" s="31">
        <f>SUM(($H$4*0.2)/18)*AE9</f>
        <v>0</v>
      </c>
      <c r="AG9" s="65"/>
      <c r="AH9" s="67">
        <f>SUM(($H$4*0.2)/18)*AG9</f>
        <v>0</v>
      </c>
      <c r="AI9" s="65"/>
      <c r="AJ9" s="26">
        <f>SUM(($H$4*0.2)/18)*AI9</f>
        <v>0</v>
      </c>
      <c r="AK9" s="31">
        <f>SUM(Y9,AA9,AC9,AE9,AG9,AI9)</f>
        <v>0</v>
      </c>
      <c r="AL9" s="31">
        <f>SUM(Z9,AB9,AD9,AF9,AH9,AJ9)</f>
        <v>0</v>
      </c>
      <c r="AM9" s="68"/>
      <c r="AN9" s="52">
        <f>SUM($H$4*0.25)*AM9</f>
        <v>0</v>
      </c>
      <c r="AO9" s="52"/>
      <c r="AP9" s="70">
        <f>SUM($H$4*0.3)*AO9</f>
        <v>0</v>
      </c>
      <c r="AQ9" s="52"/>
      <c r="AR9" s="52">
        <f>SUM($H$4*0.2*AQ9)</f>
        <v>0</v>
      </c>
      <c r="AS9" s="65"/>
      <c r="AT9" s="52">
        <f>SUM($H$4*$H9*AS9/18)</f>
        <v>0</v>
      </c>
      <c r="AU9" s="65"/>
      <c r="AV9" s="52">
        <f>SUM($H$4*$H9*AU9/18)*0.7</f>
        <v>0</v>
      </c>
      <c r="AW9" s="68"/>
      <c r="AX9" s="52">
        <f>SUM($H$4*$H9*AW9/18)*0.3</f>
        <v>0</v>
      </c>
      <c r="AY9" s="65"/>
      <c r="AZ9" s="67">
        <f>SUM(($H$4*0.25)/18)*AY9</f>
        <v>0</v>
      </c>
      <c r="BA9" s="52"/>
      <c r="BB9" s="52">
        <f>SUM($H$4*0.2)*BA9</f>
        <v>0</v>
      </c>
      <c r="BC9" s="52"/>
      <c r="BD9" s="67">
        <f>((($H$4*BC9)/100)*20)/100</f>
        <v>0</v>
      </c>
      <c r="BE9" s="70"/>
      <c r="BF9" s="73"/>
      <c r="BG9" s="73"/>
      <c r="BH9" s="11"/>
      <c r="BI9" s="74"/>
      <c r="BJ9" s="64"/>
      <c r="BK9" s="64"/>
      <c r="BL9" s="41"/>
    </row>
    <row r="10" ht="37.5" spans="1:64">
      <c r="A10" s="14">
        <v>1</v>
      </c>
      <c r="B10" s="15" t="s">
        <v>273</v>
      </c>
      <c r="C10" s="21" t="s">
        <v>119</v>
      </c>
      <c r="D10" s="22" t="s">
        <v>365</v>
      </c>
      <c r="E10" s="23" t="s">
        <v>82</v>
      </c>
      <c r="F10" s="24" t="s">
        <v>113</v>
      </c>
      <c r="G10" s="25">
        <v>3</v>
      </c>
      <c r="H10" s="20"/>
      <c r="I10" s="48"/>
      <c r="J10" s="49"/>
      <c r="K10" s="49"/>
      <c r="L10" s="18"/>
      <c r="M10" s="18"/>
      <c r="N10" s="50"/>
      <c r="O10" s="51">
        <v>23</v>
      </c>
      <c r="P10" s="52"/>
      <c r="Q10" s="64"/>
      <c r="R10" s="64"/>
      <c r="S10" s="64"/>
      <c r="T10" s="64"/>
      <c r="U10" s="64"/>
      <c r="V10" s="65"/>
      <c r="W10" s="64"/>
      <c r="X10" s="64"/>
      <c r="Y10" s="65"/>
      <c r="Z10" s="64"/>
      <c r="AA10" s="52"/>
      <c r="AB10" s="31"/>
      <c r="AC10" s="52"/>
      <c r="AD10" s="52"/>
      <c r="AE10" s="65"/>
      <c r="AF10" s="31"/>
      <c r="AG10" s="65"/>
      <c r="AH10" s="67"/>
      <c r="AI10" s="65"/>
      <c r="AJ10" s="26"/>
      <c r="AK10" s="31"/>
      <c r="AL10" s="31"/>
      <c r="AM10" s="68"/>
      <c r="AN10" s="52"/>
      <c r="AO10" s="52"/>
      <c r="AP10" s="70"/>
      <c r="AQ10" s="52"/>
      <c r="AR10" s="52"/>
      <c r="AS10" s="65"/>
      <c r="AT10" s="52"/>
      <c r="AU10" s="65"/>
      <c r="AV10" s="52"/>
      <c r="AW10" s="68"/>
      <c r="AX10" s="52"/>
      <c r="AY10" s="65"/>
      <c r="AZ10" s="67"/>
      <c r="BA10" s="52"/>
      <c r="BB10" s="52"/>
      <c r="BC10" s="52"/>
      <c r="BD10" s="67"/>
      <c r="BE10" s="70"/>
      <c r="BF10" s="73"/>
      <c r="BG10" s="75">
        <v>10</v>
      </c>
      <c r="BH10" s="11">
        <f>BG10*BH4</f>
        <v>29170</v>
      </c>
      <c r="BI10" s="74"/>
      <c r="BJ10" s="64"/>
      <c r="BK10" s="64"/>
      <c r="BL10" s="41"/>
    </row>
    <row r="11" ht="56.25" spans="1:64">
      <c r="A11" s="14">
        <v>2</v>
      </c>
      <c r="B11" s="15" t="s">
        <v>268</v>
      </c>
      <c r="C11" s="21" t="s">
        <v>366</v>
      </c>
      <c r="D11" s="22" t="s">
        <v>365</v>
      </c>
      <c r="E11" s="23" t="s">
        <v>82</v>
      </c>
      <c r="F11" s="24" t="s">
        <v>113</v>
      </c>
      <c r="G11" s="25">
        <v>4.4</v>
      </c>
      <c r="H11" s="20">
        <v>4.59</v>
      </c>
      <c r="I11" s="48"/>
      <c r="J11" s="49"/>
      <c r="K11" s="49"/>
      <c r="L11" s="18"/>
      <c r="M11" s="18"/>
      <c r="N11" s="50"/>
      <c r="O11" s="51">
        <v>21</v>
      </c>
      <c r="P11" s="52"/>
      <c r="Q11" s="64"/>
      <c r="R11" s="64"/>
      <c r="S11" s="64"/>
      <c r="T11" s="64"/>
      <c r="U11" s="64"/>
      <c r="V11" s="65"/>
      <c r="W11" s="64"/>
      <c r="X11" s="64"/>
      <c r="Y11" s="65"/>
      <c r="Z11" s="64"/>
      <c r="AA11" s="52"/>
      <c r="AB11" s="31"/>
      <c r="AC11" s="52"/>
      <c r="AD11" s="52"/>
      <c r="AE11" s="65"/>
      <c r="AF11" s="31"/>
      <c r="AG11" s="65"/>
      <c r="AH11" s="67"/>
      <c r="AI11" s="65"/>
      <c r="AJ11" s="26"/>
      <c r="AK11" s="31"/>
      <c r="AL11" s="31"/>
      <c r="AM11" s="68"/>
      <c r="AN11" s="52"/>
      <c r="AO11" s="52"/>
      <c r="AP11" s="70"/>
      <c r="AQ11" s="52"/>
      <c r="AR11" s="52"/>
      <c r="AS11" s="65"/>
      <c r="AT11" s="52"/>
      <c r="AU11" s="65"/>
      <c r="AV11" s="52"/>
      <c r="AW11" s="68"/>
      <c r="AX11" s="52"/>
      <c r="AY11" s="65"/>
      <c r="AZ11" s="67"/>
      <c r="BA11" s="52"/>
      <c r="BB11" s="52"/>
      <c r="BC11" s="52"/>
      <c r="BD11" s="67"/>
      <c r="BE11" s="70"/>
      <c r="BF11" s="73"/>
      <c r="BG11" s="76">
        <v>10</v>
      </c>
      <c r="BH11" s="11">
        <f>BG11*BH4</f>
        <v>29170</v>
      </c>
      <c r="BI11" s="74"/>
      <c r="BJ11" s="64"/>
      <c r="BK11" s="64"/>
      <c r="BL11" s="41"/>
    </row>
    <row r="12" ht="18.75" spans="1:64">
      <c r="A12" s="9"/>
      <c r="B12" s="26" t="s">
        <v>353</v>
      </c>
      <c r="C12" s="27"/>
      <c r="D12" s="27"/>
      <c r="E12" s="28"/>
      <c r="F12" s="29"/>
      <c r="G12" s="30"/>
      <c r="H12" s="31"/>
      <c r="I12" s="26">
        <f t="shared" ref="I12:AN12" si="0">SUM(I9:I9)</f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26">
        <f t="shared" si="0"/>
        <v>0</v>
      </c>
      <c r="AG12" s="26">
        <f t="shared" si="0"/>
        <v>0</v>
      </c>
      <c r="AH12" s="26">
        <f t="shared" si="0"/>
        <v>0</v>
      </c>
      <c r="AI12" s="26">
        <f t="shared" si="0"/>
        <v>0</v>
      </c>
      <c r="AJ12" s="26">
        <f t="shared" si="0"/>
        <v>0</v>
      </c>
      <c r="AK12" s="26">
        <f t="shared" si="0"/>
        <v>0</v>
      </c>
      <c r="AL12" s="26">
        <f t="shared" si="0"/>
        <v>0</v>
      </c>
      <c r="AM12" s="26">
        <f t="shared" si="0"/>
        <v>0</v>
      </c>
      <c r="AN12" s="26">
        <f t="shared" si="0"/>
        <v>0</v>
      </c>
      <c r="AO12" s="26">
        <f t="shared" ref="AO12:BF12" si="1">SUM(AO9:AO9)</f>
        <v>0</v>
      </c>
      <c r="AP12" s="26">
        <f t="shared" si="1"/>
        <v>0</v>
      </c>
      <c r="AQ12" s="26">
        <f t="shared" si="1"/>
        <v>0</v>
      </c>
      <c r="AR12" s="26">
        <f t="shared" si="1"/>
        <v>0</v>
      </c>
      <c r="AS12" s="26">
        <f t="shared" si="1"/>
        <v>0</v>
      </c>
      <c r="AT12" s="26">
        <f t="shared" si="1"/>
        <v>0</v>
      </c>
      <c r="AU12" s="26">
        <f t="shared" si="1"/>
        <v>0</v>
      </c>
      <c r="AV12" s="26">
        <f t="shared" si="1"/>
        <v>0</v>
      </c>
      <c r="AW12" s="26">
        <f t="shared" si="1"/>
        <v>0</v>
      </c>
      <c r="AX12" s="26">
        <f t="shared" si="1"/>
        <v>0</v>
      </c>
      <c r="AY12" s="26">
        <f t="shared" si="1"/>
        <v>0</v>
      </c>
      <c r="AZ12" s="26">
        <f t="shared" si="1"/>
        <v>0</v>
      </c>
      <c r="BA12" s="26">
        <f t="shared" si="1"/>
        <v>0</v>
      </c>
      <c r="BB12" s="26">
        <f t="shared" si="1"/>
        <v>0</v>
      </c>
      <c r="BC12" s="26">
        <f t="shared" si="1"/>
        <v>0</v>
      </c>
      <c r="BD12" s="26">
        <f t="shared" si="1"/>
        <v>0</v>
      </c>
      <c r="BE12" s="26">
        <f t="shared" si="1"/>
        <v>0</v>
      </c>
      <c r="BF12" s="26">
        <f t="shared" si="1"/>
        <v>0</v>
      </c>
      <c r="BG12" s="26"/>
      <c r="BH12" s="26"/>
      <c r="BI12" s="26">
        <f>SUM(BI9:BI9)</f>
        <v>0</v>
      </c>
      <c r="BJ12" s="26">
        <f>SUM(BJ9:BJ9)</f>
        <v>0</v>
      </c>
      <c r="BK12" s="26">
        <f>SUM(BK9:BK9)</f>
        <v>0</v>
      </c>
      <c r="BL12" s="41"/>
    </row>
    <row r="13" ht="15.75" spans="1:64">
      <c r="A13" s="32"/>
      <c r="B13" s="31" t="s">
        <v>142</v>
      </c>
      <c r="C13" s="31"/>
      <c r="D13" s="31"/>
      <c r="E13" s="31"/>
      <c r="F13" s="33"/>
      <c r="G13" s="31"/>
      <c r="H13" s="31"/>
      <c r="I13" s="26">
        <f>SUM(I12)</f>
        <v>0</v>
      </c>
      <c r="J13" s="26">
        <f t="shared" ref="J13:BK13" si="2">SUM(J12)</f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>
        <f t="shared" si="2"/>
        <v>0</v>
      </c>
      <c r="U13" s="26">
        <f t="shared" si="2"/>
        <v>0</v>
      </c>
      <c r="V13" s="26">
        <f t="shared" si="2"/>
        <v>0</v>
      </c>
      <c r="W13" s="26">
        <f t="shared" si="2"/>
        <v>0</v>
      </c>
      <c r="X13" s="26">
        <f t="shared" si="2"/>
        <v>0</v>
      </c>
      <c r="Y13" s="26">
        <f t="shared" si="2"/>
        <v>0</v>
      </c>
      <c r="Z13" s="26">
        <f t="shared" si="2"/>
        <v>0</v>
      </c>
      <c r="AA13" s="26">
        <f t="shared" si="2"/>
        <v>0</v>
      </c>
      <c r="AB13" s="26">
        <f t="shared" si="2"/>
        <v>0</v>
      </c>
      <c r="AC13" s="26">
        <f t="shared" si="2"/>
        <v>0</v>
      </c>
      <c r="AD13" s="26">
        <f t="shared" si="2"/>
        <v>0</v>
      </c>
      <c r="AE13" s="26">
        <f t="shared" si="2"/>
        <v>0</v>
      </c>
      <c r="AF13" s="26">
        <f t="shared" si="2"/>
        <v>0</v>
      </c>
      <c r="AG13" s="26">
        <f t="shared" si="2"/>
        <v>0</v>
      </c>
      <c r="AH13" s="26">
        <f t="shared" si="2"/>
        <v>0</v>
      </c>
      <c r="AI13" s="26">
        <f t="shared" si="2"/>
        <v>0</v>
      </c>
      <c r="AJ13" s="26">
        <f t="shared" si="2"/>
        <v>0</v>
      </c>
      <c r="AK13" s="26">
        <f t="shared" si="2"/>
        <v>0</v>
      </c>
      <c r="AL13" s="26">
        <f t="shared" si="2"/>
        <v>0</v>
      </c>
      <c r="AM13" s="26">
        <f t="shared" si="2"/>
        <v>0</v>
      </c>
      <c r="AN13" s="26">
        <f t="shared" si="2"/>
        <v>0</v>
      </c>
      <c r="AO13" s="26">
        <f t="shared" si="2"/>
        <v>0</v>
      </c>
      <c r="AP13" s="26">
        <f t="shared" si="2"/>
        <v>0</v>
      </c>
      <c r="AQ13" s="26">
        <f t="shared" si="2"/>
        <v>0</v>
      </c>
      <c r="AR13" s="26">
        <f t="shared" si="2"/>
        <v>0</v>
      </c>
      <c r="AS13" s="26">
        <f t="shared" si="2"/>
        <v>0</v>
      </c>
      <c r="AT13" s="26">
        <f t="shared" si="2"/>
        <v>0</v>
      </c>
      <c r="AU13" s="26">
        <f t="shared" si="2"/>
        <v>0</v>
      </c>
      <c r="AV13" s="26">
        <f t="shared" si="2"/>
        <v>0</v>
      </c>
      <c r="AW13" s="26">
        <f t="shared" si="2"/>
        <v>0</v>
      </c>
      <c r="AX13" s="26">
        <f t="shared" si="2"/>
        <v>0</v>
      </c>
      <c r="AY13" s="26">
        <f t="shared" si="2"/>
        <v>0</v>
      </c>
      <c r="AZ13" s="26">
        <f t="shared" si="2"/>
        <v>0</v>
      </c>
      <c r="BA13" s="26">
        <f t="shared" si="2"/>
        <v>0</v>
      </c>
      <c r="BB13" s="26">
        <f t="shared" si="2"/>
        <v>0</v>
      </c>
      <c r="BC13" s="26">
        <f t="shared" si="2"/>
        <v>0</v>
      </c>
      <c r="BD13" s="26">
        <f t="shared" si="2"/>
        <v>0</v>
      </c>
      <c r="BE13" s="26">
        <f t="shared" si="2"/>
        <v>0</v>
      </c>
      <c r="BF13" s="26">
        <f t="shared" si="2"/>
        <v>0</v>
      </c>
      <c r="BG13" s="26"/>
      <c r="BH13" s="26"/>
      <c r="BI13" s="26">
        <f t="shared" si="2"/>
        <v>0</v>
      </c>
      <c r="BJ13" s="26">
        <f t="shared" si="2"/>
        <v>0</v>
      </c>
      <c r="BK13" s="26">
        <f t="shared" si="2"/>
        <v>0</v>
      </c>
      <c r="BL13" s="41"/>
    </row>
    <row r="14" ht="15.75" spans="1:64">
      <c r="A14" s="34"/>
      <c r="B14" s="35"/>
      <c r="C14" s="35"/>
      <c r="D14" s="35"/>
      <c r="E14" s="35"/>
      <c r="F14" s="36"/>
      <c r="G14" s="35"/>
      <c r="H14" s="35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41"/>
    </row>
    <row r="15" ht="15.75" spans="1:64">
      <c r="A15" s="35"/>
      <c r="B15" s="37"/>
      <c r="C15" s="37" t="s">
        <v>340</v>
      </c>
      <c r="D15" s="37"/>
      <c r="E15" s="38" t="s">
        <v>298</v>
      </c>
      <c r="F15" s="39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40"/>
      <c r="T15" s="37" t="s">
        <v>143</v>
      </c>
      <c r="U15" s="37"/>
      <c r="V15" s="40"/>
      <c r="W15" s="40"/>
      <c r="X15" s="40" t="s">
        <v>144</v>
      </c>
      <c r="Y15" s="40" t="s">
        <v>341</v>
      </c>
      <c r="Z15" s="40"/>
      <c r="AA15" s="40"/>
      <c r="AB15" s="40"/>
      <c r="AC15" s="40"/>
      <c r="AD15" s="40"/>
      <c r="AE15" s="66"/>
      <c r="AF15" s="40"/>
      <c r="AG15" s="66"/>
      <c r="AH15" s="40"/>
      <c r="AI15" s="66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37" t="s">
        <v>342</v>
      </c>
      <c r="BG15" s="37"/>
      <c r="BH15" s="37"/>
      <c r="BI15" s="37"/>
      <c r="BJ15" s="40" t="s">
        <v>148</v>
      </c>
      <c r="BK15" s="40"/>
      <c r="BL15" s="41"/>
    </row>
    <row r="16" ht="15.75" spans="1:64">
      <c r="A16" s="35"/>
      <c r="B16" s="37"/>
      <c r="C16" s="37"/>
      <c r="D16" s="37"/>
      <c r="E16" s="38"/>
      <c r="F16" s="39"/>
      <c r="G16" s="40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0"/>
      <c r="T16" s="37"/>
      <c r="U16" s="37"/>
      <c r="V16" s="40"/>
      <c r="W16" s="40"/>
      <c r="X16" s="40"/>
      <c r="Y16" s="40"/>
      <c r="Z16" s="40"/>
      <c r="AA16" s="40"/>
      <c r="AB16" s="40"/>
      <c r="AC16" s="40"/>
      <c r="AD16" s="40"/>
      <c r="AE16" s="66"/>
      <c r="AF16" s="40"/>
      <c r="AG16" s="66"/>
      <c r="AH16" s="40"/>
      <c r="AI16" s="66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1"/>
    </row>
    <row r="17" ht="15.75" spans="1:64">
      <c r="A17" s="40"/>
      <c r="B17" s="40"/>
      <c r="C17" s="40" t="s">
        <v>149</v>
      </c>
      <c r="D17" s="40"/>
      <c r="E17" s="38" t="s">
        <v>354</v>
      </c>
      <c r="F17" s="39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0"/>
      <c r="T17" s="37" t="s">
        <v>360</v>
      </c>
      <c r="U17" s="37"/>
      <c r="V17" s="40"/>
      <c r="W17" s="40"/>
      <c r="X17" s="40" t="s">
        <v>344</v>
      </c>
      <c r="Y17" s="40" t="s">
        <v>343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</row>
    <row r="18" ht="15.75" spans="1:64">
      <c r="A18" s="40"/>
      <c r="B18" s="40"/>
      <c r="C18" s="40"/>
      <c r="D18" s="40"/>
      <c r="E18" s="40"/>
      <c r="F18" s="40"/>
      <c r="G18" s="40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0"/>
      <c r="T18" s="37"/>
      <c r="U18" s="37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1"/>
    </row>
    <row r="19" ht="15.75" spans="1:64">
      <c r="A19" s="40"/>
      <c r="B19" s="40"/>
      <c r="C19" s="40" t="s">
        <v>153</v>
      </c>
      <c r="D19" s="40"/>
      <c r="E19" s="40" t="s">
        <v>345</v>
      </c>
      <c r="F19" s="37"/>
      <c r="G19" s="4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0"/>
      <c r="T19" s="37" t="s">
        <v>151</v>
      </c>
      <c r="U19" s="37"/>
      <c r="V19" s="40"/>
      <c r="W19" s="40"/>
      <c r="X19" s="40" t="s">
        <v>152</v>
      </c>
      <c r="Y19" s="40" t="s">
        <v>152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1"/>
    </row>
    <row r="20" spans="1:6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</sheetData>
  <mergeCells count="3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19:U1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I6:BI7"/>
    <mergeCell ref="BJ5:BJ7"/>
    <mergeCell ref="BK5:BK7"/>
    <mergeCell ref="P5:U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67"/>
  <sheetViews>
    <sheetView view="pageBreakPreview" zoomScale="50" zoomScaleNormal="80" topLeftCell="A39" workbookViewId="0">
      <selection activeCell="O21" sqref="O21"/>
    </sheetView>
  </sheetViews>
  <sheetFormatPr defaultColWidth="9.14285714285714" defaultRowHeight="15"/>
  <cols>
    <col min="1" max="1" width="7.28571428571429" style="77" customWidth="1"/>
    <col min="2" max="2" width="38" style="77" customWidth="1"/>
    <col min="3" max="3" width="21.7142857142857" style="77" customWidth="1"/>
    <col min="4" max="4" width="15" style="77" customWidth="1"/>
    <col min="5" max="5" width="9.85714285714286" style="77" customWidth="1"/>
    <col min="6" max="6" width="13.4285714285714" style="77" customWidth="1"/>
    <col min="7" max="7" width="15.1428571428571" style="77" customWidth="1"/>
    <col min="8" max="8" width="13.2857142857143" style="77" customWidth="1"/>
    <col min="9" max="9" width="21.2857142857143" style="77" customWidth="1"/>
    <col min="10" max="10" width="17.2857142857143" style="77" customWidth="1"/>
    <col min="11" max="11" width="17.5714285714286" style="77" customWidth="1"/>
    <col min="12" max="12" width="16.7142857142857" style="77" customWidth="1"/>
    <col min="13" max="13" width="17.2857142857143" style="77" customWidth="1"/>
    <col min="14" max="14" width="16.1428571428571" style="77" customWidth="1"/>
    <col min="15" max="15" width="15.1428571428571" style="77" customWidth="1"/>
    <col min="16" max="16" width="19.2857142857143" style="77" customWidth="1"/>
    <col min="17" max="17" width="20" style="77" customWidth="1"/>
    <col min="18" max="20" width="15.2857142857143" style="77" customWidth="1"/>
    <col min="21" max="21" width="14.7142857142857" style="77" customWidth="1"/>
    <col min="22" max="22" width="11.2857142857143" style="77" customWidth="1"/>
    <col min="23" max="23" width="19.4285714285714" style="77" customWidth="1"/>
    <col min="24" max="25" width="16.4285714285714" style="77" customWidth="1"/>
    <col min="26" max="26" width="14.5714285714286" style="77" customWidth="1"/>
    <col min="27" max="27" width="18.5714285714286" style="77" customWidth="1"/>
    <col min="28" max="28" width="22.7142857142857" style="77" customWidth="1"/>
    <col min="29" max="29" width="13.2857142857143" style="77" customWidth="1"/>
    <col min="30" max="30" width="19.7142857142857" style="77" customWidth="1"/>
    <col min="31" max="31" width="9.14285714285714" style="77"/>
    <col min="32" max="32" width="15" style="77" customWidth="1"/>
    <col min="33" max="16384" width="9.14285714285714" style="77"/>
  </cols>
  <sheetData>
    <row r="1" ht="18.75" spans="1:30">
      <c r="A1" s="348"/>
      <c r="B1" s="349" t="s">
        <v>0</v>
      </c>
      <c r="C1" s="349"/>
      <c r="D1" s="349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81"/>
      <c r="W1" s="348"/>
      <c r="X1" s="348"/>
      <c r="Y1" s="348"/>
      <c r="Z1" s="348"/>
      <c r="AA1" s="348"/>
      <c r="AB1" s="348"/>
      <c r="AC1" s="391"/>
      <c r="AD1" s="391"/>
    </row>
    <row r="2" ht="27.75" customHeight="1" spans="1:30">
      <c r="A2" s="348"/>
      <c r="B2" s="349" t="s">
        <v>1</v>
      </c>
      <c r="C2" s="349"/>
      <c r="D2" s="349"/>
      <c r="E2" s="350"/>
      <c r="F2" s="350"/>
      <c r="G2" s="350"/>
      <c r="H2" s="350"/>
      <c r="I2" s="350"/>
      <c r="J2" s="350"/>
      <c r="K2" s="350"/>
      <c r="L2" s="350"/>
      <c r="M2" s="348"/>
      <c r="N2" s="348"/>
      <c r="O2" s="348"/>
      <c r="P2" s="348"/>
      <c r="Q2" s="348"/>
      <c r="R2" s="348"/>
      <c r="S2" s="348"/>
      <c r="T2" s="348"/>
      <c r="U2" s="348"/>
      <c r="V2" s="381"/>
      <c r="W2" s="348"/>
      <c r="X2" s="348"/>
      <c r="Y2" s="348"/>
      <c r="Z2" s="348"/>
      <c r="AA2" s="348"/>
      <c r="AB2" s="348"/>
      <c r="AC2" s="391"/>
      <c r="AD2" s="391"/>
    </row>
    <row r="3" ht="18.75" spans="1:30">
      <c r="A3" s="348"/>
      <c r="B3" s="349" t="s">
        <v>2</v>
      </c>
      <c r="C3" s="349"/>
      <c r="D3" s="349"/>
      <c r="E3" s="351"/>
      <c r="F3" s="351"/>
      <c r="G3" s="348"/>
      <c r="H3" s="348"/>
      <c r="I3" s="348"/>
      <c r="J3" s="348"/>
      <c r="K3" s="392" t="s">
        <v>3</v>
      </c>
      <c r="L3" s="392"/>
      <c r="M3" s="392"/>
      <c r="N3" s="392"/>
      <c r="O3" s="392"/>
      <c r="P3" s="392"/>
      <c r="Q3" s="392"/>
      <c r="R3" s="392"/>
      <c r="S3" s="392"/>
      <c r="T3" s="392"/>
      <c r="U3" s="348"/>
      <c r="V3" s="381"/>
      <c r="W3" s="348"/>
      <c r="X3" s="348"/>
      <c r="Y3" s="348"/>
      <c r="Z3" s="348"/>
      <c r="AA3" s="348"/>
      <c r="AB3" s="348"/>
      <c r="AC3" s="391"/>
      <c r="AD3" s="391"/>
    </row>
    <row r="4" ht="18.75" spans="1:30">
      <c r="A4" s="352"/>
      <c r="B4" s="352"/>
      <c r="C4" s="352"/>
      <c r="D4" s="352"/>
      <c r="E4" s="352"/>
      <c r="F4" s="352"/>
      <c r="G4" s="352" t="s">
        <v>4</v>
      </c>
      <c r="H4" s="353">
        <v>17697</v>
      </c>
      <c r="I4" s="352"/>
      <c r="J4" s="352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52"/>
      <c r="V4" s="352"/>
      <c r="W4" s="352"/>
      <c r="X4" s="352"/>
      <c r="Y4" s="352"/>
      <c r="Z4" s="352"/>
      <c r="AA4" s="352"/>
      <c r="AB4" s="352"/>
      <c r="AC4" s="391"/>
      <c r="AD4" s="391"/>
    </row>
    <row r="5" customHeight="1" spans="1:32">
      <c r="A5" s="354" t="s">
        <v>5</v>
      </c>
      <c r="B5" s="355" t="s">
        <v>6</v>
      </c>
      <c r="C5" s="355" t="s">
        <v>7</v>
      </c>
      <c r="D5" s="355" t="s">
        <v>8</v>
      </c>
      <c r="E5" s="355" t="s">
        <v>9</v>
      </c>
      <c r="F5" s="355"/>
      <c r="G5" s="355"/>
      <c r="H5" s="355"/>
      <c r="I5" s="394" t="s">
        <v>10</v>
      </c>
      <c r="J5" s="395"/>
      <c r="K5" s="395"/>
      <c r="L5" s="395"/>
      <c r="M5" s="395"/>
      <c r="N5" s="395"/>
      <c r="O5" s="396"/>
      <c r="P5" s="355" t="s">
        <v>11</v>
      </c>
      <c r="Q5" s="355"/>
      <c r="R5" s="355"/>
      <c r="S5" s="355"/>
      <c r="T5" s="355"/>
      <c r="U5" s="355"/>
      <c r="V5" s="394" t="s">
        <v>12</v>
      </c>
      <c r="W5" s="395"/>
      <c r="X5" s="395"/>
      <c r="Y5" s="395"/>
      <c r="Z5" s="395"/>
      <c r="AA5" s="425"/>
      <c r="AB5" s="426"/>
      <c r="AC5" s="355" t="s">
        <v>13</v>
      </c>
      <c r="AD5" s="355" t="s">
        <v>14</v>
      </c>
      <c r="AE5" s="427" t="s">
        <v>15</v>
      </c>
      <c r="AF5" s="427"/>
    </row>
    <row r="6" ht="97.5" customHeight="1" spans="1:32">
      <c r="A6" s="356"/>
      <c r="B6" s="355"/>
      <c r="C6" s="355"/>
      <c r="D6" s="355"/>
      <c r="E6" s="355" t="s">
        <v>16</v>
      </c>
      <c r="F6" s="355" t="s">
        <v>17</v>
      </c>
      <c r="G6" s="355" t="s">
        <v>18</v>
      </c>
      <c r="H6" s="355" t="s">
        <v>19</v>
      </c>
      <c r="I6" s="355" t="s">
        <v>20</v>
      </c>
      <c r="J6" s="394" t="s">
        <v>21</v>
      </c>
      <c r="K6" s="395"/>
      <c r="L6" s="395"/>
      <c r="M6" s="395"/>
      <c r="N6" s="395"/>
      <c r="O6" s="396"/>
      <c r="P6" s="355"/>
      <c r="Q6" s="355"/>
      <c r="R6" s="355"/>
      <c r="S6" s="355"/>
      <c r="T6" s="355"/>
      <c r="U6" s="355"/>
      <c r="V6" s="418">
        <v>0.5</v>
      </c>
      <c r="W6" s="419"/>
      <c r="X6" s="394" t="s">
        <v>22</v>
      </c>
      <c r="Y6" s="396"/>
      <c r="Z6" s="428" t="s">
        <v>23</v>
      </c>
      <c r="AA6" s="394" t="s">
        <v>33</v>
      </c>
      <c r="AB6" s="355" t="s">
        <v>34</v>
      </c>
      <c r="AC6" s="355"/>
      <c r="AD6" s="355"/>
      <c r="AE6" s="427"/>
      <c r="AF6" s="427"/>
    </row>
    <row r="7" ht="75" spans="1:32">
      <c r="A7" s="357"/>
      <c r="B7" s="355"/>
      <c r="C7" s="355"/>
      <c r="D7" s="355"/>
      <c r="E7" s="355"/>
      <c r="F7" s="355"/>
      <c r="G7" s="355"/>
      <c r="H7" s="355"/>
      <c r="I7" s="355"/>
      <c r="J7" s="355" t="s">
        <v>35</v>
      </c>
      <c r="K7" s="355" t="s">
        <v>36</v>
      </c>
      <c r="L7" s="355" t="s">
        <v>37</v>
      </c>
      <c r="M7" s="355" t="s">
        <v>38</v>
      </c>
      <c r="N7" s="355" t="s">
        <v>39</v>
      </c>
      <c r="O7" s="355" t="s">
        <v>40</v>
      </c>
      <c r="P7" s="355" t="s">
        <v>35</v>
      </c>
      <c r="Q7" s="355" t="s">
        <v>36</v>
      </c>
      <c r="R7" s="355" t="s">
        <v>37</v>
      </c>
      <c r="S7" s="355" t="s">
        <v>38</v>
      </c>
      <c r="T7" s="355" t="s">
        <v>39</v>
      </c>
      <c r="U7" s="355" t="s">
        <v>41</v>
      </c>
      <c r="V7" s="355" t="s">
        <v>42</v>
      </c>
      <c r="W7" s="420" t="s">
        <v>43</v>
      </c>
      <c r="X7" s="355" t="s">
        <v>42</v>
      </c>
      <c r="Y7" s="420" t="s">
        <v>43</v>
      </c>
      <c r="Z7" s="428"/>
      <c r="AA7" s="355" t="s">
        <v>43</v>
      </c>
      <c r="AB7" s="355"/>
      <c r="AC7" s="355"/>
      <c r="AD7" s="355"/>
      <c r="AE7" s="429" t="s">
        <v>56</v>
      </c>
      <c r="AF7" s="355" t="s">
        <v>43</v>
      </c>
    </row>
    <row r="8" ht="18.75" spans="1:32">
      <c r="A8" s="358">
        <v>1</v>
      </c>
      <c r="B8" s="358">
        <v>2</v>
      </c>
      <c r="C8" s="358">
        <v>3</v>
      </c>
      <c r="D8" s="358">
        <v>4</v>
      </c>
      <c r="E8" s="358">
        <v>5</v>
      </c>
      <c r="F8" s="358">
        <v>6</v>
      </c>
      <c r="G8" s="358">
        <v>7</v>
      </c>
      <c r="H8" s="358">
        <v>8</v>
      </c>
      <c r="I8" s="358">
        <v>9</v>
      </c>
      <c r="J8" s="358">
        <v>10</v>
      </c>
      <c r="K8" s="358">
        <v>11</v>
      </c>
      <c r="L8" s="358">
        <v>12</v>
      </c>
      <c r="M8" s="358">
        <v>13</v>
      </c>
      <c r="N8" s="358">
        <v>14</v>
      </c>
      <c r="O8" s="358">
        <v>15</v>
      </c>
      <c r="P8" s="358">
        <v>16</v>
      </c>
      <c r="Q8" s="358">
        <v>17</v>
      </c>
      <c r="R8" s="358">
        <v>18</v>
      </c>
      <c r="S8" s="358">
        <v>19</v>
      </c>
      <c r="T8" s="358">
        <v>20</v>
      </c>
      <c r="U8" s="358">
        <v>21</v>
      </c>
      <c r="V8" s="358"/>
      <c r="W8" s="358"/>
      <c r="X8" s="358">
        <v>22</v>
      </c>
      <c r="Y8" s="358">
        <v>23</v>
      </c>
      <c r="Z8" s="358">
        <v>24</v>
      </c>
      <c r="AA8" s="358">
        <v>57</v>
      </c>
      <c r="AB8" s="358">
        <v>58</v>
      </c>
      <c r="AC8" s="358">
        <v>59</v>
      </c>
      <c r="AD8" s="358">
        <v>60</v>
      </c>
      <c r="AE8" s="358">
        <v>61</v>
      </c>
      <c r="AF8" s="358">
        <v>62</v>
      </c>
    </row>
    <row r="9" ht="40.5" customHeight="1" spans="1:32">
      <c r="A9" s="82">
        <v>1</v>
      </c>
      <c r="B9" s="15" t="s">
        <v>57</v>
      </c>
      <c r="C9" s="15" t="s">
        <v>58</v>
      </c>
      <c r="D9" s="15" t="s">
        <v>59</v>
      </c>
      <c r="E9" s="136" t="s">
        <v>60</v>
      </c>
      <c r="F9" s="137" t="s">
        <v>61</v>
      </c>
      <c r="G9" s="19">
        <v>37.4</v>
      </c>
      <c r="H9" s="20">
        <v>5.41</v>
      </c>
      <c r="I9" s="105">
        <f t="shared" ref="I9:I52" si="0">ROUND((((J9+K9))/24)+(L9+M9+N9)/18,2)</f>
        <v>1.33</v>
      </c>
      <c r="J9" s="397"/>
      <c r="K9" s="397"/>
      <c r="L9" s="398">
        <v>22</v>
      </c>
      <c r="M9" s="399">
        <v>2</v>
      </c>
      <c r="N9" s="154"/>
      <c r="O9" s="400">
        <f>SUM(L9:N9)</f>
        <v>24</v>
      </c>
      <c r="P9" s="401">
        <f>SUM(($H$4*H9)/24)*J9</f>
        <v>0</v>
      </c>
      <c r="Q9" s="421">
        <f>SUM(($H$4*H9)/24)*K9</f>
        <v>0</v>
      </c>
      <c r="R9" s="421">
        <f>($H$4*H9)/18*L9</f>
        <v>117016.496666667</v>
      </c>
      <c r="S9" s="421">
        <f>($H$4*H9)*M9/18</f>
        <v>10637.8633333333</v>
      </c>
      <c r="T9" s="421">
        <f>($H$4*H9)/18*N9</f>
        <v>0</v>
      </c>
      <c r="U9" s="421">
        <f>SUM(P9:T9)</f>
        <v>127654.36</v>
      </c>
      <c r="V9" s="421">
        <v>50</v>
      </c>
      <c r="W9" s="421">
        <f>(U9*V9)/100</f>
        <v>63827.18</v>
      </c>
      <c r="X9" s="422">
        <v>25</v>
      </c>
      <c r="Y9" s="421">
        <f>(W9*X9)/100</f>
        <v>15956.795</v>
      </c>
      <c r="Z9" s="421">
        <f>SUM(W9,Y9)</f>
        <v>79783.975</v>
      </c>
      <c r="AA9" s="401">
        <f>SUM(W9+Y9)*0.1</f>
        <v>7978.3975</v>
      </c>
      <c r="AB9" s="362">
        <f>W9+Y9+AA9</f>
        <v>87762.3725</v>
      </c>
      <c r="AC9" s="421">
        <f>AB9</f>
        <v>87762.3725</v>
      </c>
      <c r="AD9" s="421">
        <f>AC9*12</f>
        <v>1053148.47</v>
      </c>
      <c r="AE9" s="105">
        <f>SUM(I9)</f>
        <v>1.33</v>
      </c>
      <c r="AF9" s="430">
        <f t="shared" ref="AF9:AF14" si="1">SUM(($H$4*H9)+(($H$4*H9*X9)/100))*AE9</f>
        <v>159169.030125</v>
      </c>
    </row>
    <row r="10" ht="36.75" customHeight="1" spans="1:32">
      <c r="A10" s="82">
        <v>2</v>
      </c>
      <c r="B10" s="15" t="s">
        <v>62</v>
      </c>
      <c r="C10" s="15" t="s">
        <v>63</v>
      </c>
      <c r="D10" s="15" t="s">
        <v>59</v>
      </c>
      <c r="E10" s="136" t="s">
        <v>60</v>
      </c>
      <c r="F10" s="18" t="s">
        <v>61</v>
      </c>
      <c r="G10" s="86">
        <v>33.4</v>
      </c>
      <c r="H10" s="20">
        <v>5.41</v>
      </c>
      <c r="I10" s="105">
        <f t="shared" si="0"/>
        <v>1.56</v>
      </c>
      <c r="J10" s="402"/>
      <c r="K10" s="403"/>
      <c r="L10" s="399">
        <v>10</v>
      </c>
      <c r="M10" s="399">
        <v>15</v>
      </c>
      <c r="N10" s="154">
        <v>3</v>
      </c>
      <c r="O10" s="400">
        <f t="shared" ref="O10:O47" si="2">SUM(L10:N10)</f>
        <v>28</v>
      </c>
      <c r="P10" s="401">
        <f t="shared" ref="P10:P14" si="3">SUM(($H$4*H10)/24)*J10</f>
        <v>0</v>
      </c>
      <c r="Q10" s="421">
        <f t="shared" ref="Q10:Q14" si="4">SUM(($H$4*H10)/24)*K10</f>
        <v>0</v>
      </c>
      <c r="R10" s="421">
        <f t="shared" ref="R10:R14" si="5">($H$4*H10)/18*L10</f>
        <v>53189.3166666667</v>
      </c>
      <c r="S10" s="421">
        <f t="shared" ref="S10:S14" si="6">($H$4*H10)*M10/18</f>
        <v>79783.975</v>
      </c>
      <c r="T10" s="421">
        <f t="shared" ref="T10:T14" si="7">($H$4*H10)/18*N10</f>
        <v>15956.795</v>
      </c>
      <c r="U10" s="421">
        <f t="shared" ref="U10:U47" si="8">SUM(P10:T10)</f>
        <v>148930.086666667</v>
      </c>
      <c r="V10" s="421">
        <v>50</v>
      </c>
      <c r="W10" s="421">
        <f t="shared" ref="W10:W52" si="9">(U10*V10)/100</f>
        <v>74465.0433333333</v>
      </c>
      <c r="X10" s="422">
        <v>25</v>
      </c>
      <c r="Y10" s="421">
        <f t="shared" ref="Y10:Y52" si="10">(W10*X10)/100</f>
        <v>18616.2608333333</v>
      </c>
      <c r="Z10" s="421">
        <f t="shared" ref="Z10:Z52" si="11">SUM(W10,Y10)</f>
        <v>93081.3041666667</v>
      </c>
      <c r="AA10" s="401">
        <f t="shared" ref="AA10:AA52" si="12">SUM(W10+Y10)*0.1</f>
        <v>9308.13041666667</v>
      </c>
      <c r="AB10" s="362">
        <f t="shared" ref="AB10:AB52" si="13">W10+Y10+AA10</f>
        <v>102389.434583333</v>
      </c>
      <c r="AC10" s="421">
        <f t="shared" ref="AC10:AC52" si="14">AB10</f>
        <v>102389.434583333</v>
      </c>
      <c r="AD10" s="421">
        <f t="shared" ref="AD10:AD52" si="15">AC10*12</f>
        <v>1228673.215</v>
      </c>
      <c r="AE10" s="105">
        <f t="shared" ref="AE10:AE52" si="16">SUM(I10)</f>
        <v>1.56</v>
      </c>
      <c r="AF10" s="430">
        <f t="shared" si="1"/>
        <v>186694.5015</v>
      </c>
    </row>
    <row r="11" ht="46.5" customHeight="1" spans="1:32">
      <c r="A11" s="82">
        <v>4</v>
      </c>
      <c r="B11" s="15" t="s">
        <v>64</v>
      </c>
      <c r="C11" s="16" t="s">
        <v>65</v>
      </c>
      <c r="D11" s="15" t="s">
        <v>59</v>
      </c>
      <c r="E11" s="136" t="s">
        <v>60</v>
      </c>
      <c r="F11" s="18" t="s">
        <v>66</v>
      </c>
      <c r="G11" s="86">
        <v>35.4</v>
      </c>
      <c r="H11" s="20">
        <v>5.41</v>
      </c>
      <c r="I11" s="105">
        <f t="shared" si="0"/>
        <v>1.64</v>
      </c>
      <c r="J11" s="109"/>
      <c r="K11" s="109"/>
      <c r="L11" s="404">
        <v>4</v>
      </c>
      <c r="M11" s="404">
        <v>22</v>
      </c>
      <c r="N11" s="190">
        <v>3.5</v>
      </c>
      <c r="O11" s="400">
        <f t="shared" si="2"/>
        <v>29.5</v>
      </c>
      <c r="P11" s="401">
        <f t="shared" si="3"/>
        <v>0</v>
      </c>
      <c r="Q11" s="421">
        <f t="shared" si="4"/>
        <v>0</v>
      </c>
      <c r="R11" s="421">
        <f t="shared" si="5"/>
        <v>21275.7266666667</v>
      </c>
      <c r="S11" s="421">
        <f t="shared" si="6"/>
        <v>117016.496666667</v>
      </c>
      <c r="T11" s="421">
        <f t="shared" si="7"/>
        <v>18616.2608333333</v>
      </c>
      <c r="U11" s="421">
        <f t="shared" si="8"/>
        <v>156908.484166667</v>
      </c>
      <c r="V11" s="421">
        <v>50</v>
      </c>
      <c r="W11" s="421">
        <f t="shared" si="9"/>
        <v>78454.2420833333</v>
      </c>
      <c r="X11" s="422">
        <v>25</v>
      </c>
      <c r="Y11" s="421">
        <f t="shared" si="10"/>
        <v>19613.5605208333</v>
      </c>
      <c r="Z11" s="421">
        <f t="shared" si="11"/>
        <v>98067.8026041667</v>
      </c>
      <c r="AA11" s="401">
        <f t="shared" si="12"/>
        <v>9806.78026041667</v>
      </c>
      <c r="AB11" s="362">
        <f t="shared" si="13"/>
        <v>107874.582864583</v>
      </c>
      <c r="AC11" s="421">
        <f t="shared" si="14"/>
        <v>107874.582864583</v>
      </c>
      <c r="AD11" s="421">
        <f t="shared" si="15"/>
        <v>1294494.994375</v>
      </c>
      <c r="AE11" s="105">
        <f t="shared" si="16"/>
        <v>1.64</v>
      </c>
      <c r="AF11" s="430">
        <f t="shared" si="1"/>
        <v>196268.5785</v>
      </c>
    </row>
    <row r="12" ht="36.75" customHeight="1" spans="1:32">
      <c r="A12" s="82">
        <v>5</v>
      </c>
      <c r="B12" s="15" t="s">
        <v>67</v>
      </c>
      <c r="C12" s="15" t="s">
        <v>68</v>
      </c>
      <c r="D12" s="15" t="s">
        <v>59</v>
      </c>
      <c r="E12" s="136" t="s">
        <v>60</v>
      </c>
      <c r="F12" s="18" t="s">
        <v>69</v>
      </c>
      <c r="G12" s="86">
        <v>32.4</v>
      </c>
      <c r="H12" s="20">
        <v>5.41</v>
      </c>
      <c r="I12" s="105">
        <f t="shared" si="0"/>
        <v>1.33</v>
      </c>
      <c r="J12" s="109"/>
      <c r="K12" s="397"/>
      <c r="L12" s="404"/>
      <c r="M12" s="399">
        <v>18</v>
      </c>
      <c r="N12" s="154">
        <v>6</v>
      </c>
      <c r="O12" s="400">
        <f t="shared" si="2"/>
        <v>24</v>
      </c>
      <c r="P12" s="401">
        <f t="shared" si="3"/>
        <v>0</v>
      </c>
      <c r="Q12" s="421">
        <f t="shared" si="4"/>
        <v>0</v>
      </c>
      <c r="R12" s="421">
        <f t="shared" si="5"/>
        <v>0</v>
      </c>
      <c r="S12" s="421">
        <f t="shared" si="6"/>
        <v>95740.77</v>
      </c>
      <c r="T12" s="421">
        <f t="shared" si="7"/>
        <v>31913.59</v>
      </c>
      <c r="U12" s="421">
        <f t="shared" si="8"/>
        <v>127654.36</v>
      </c>
      <c r="V12" s="421">
        <v>50</v>
      </c>
      <c r="W12" s="421">
        <f t="shared" si="9"/>
        <v>63827.18</v>
      </c>
      <c r="X12" s="422">
        <v>25</v>
      </c>
      <c r="Y12" s="421">
        <f t="shared" si="10"/>
        <v>15956.795</v>
      </c>
      <c r="Z12" s="421">
        <f t="shared" si="11"/>
        <v>79783.975</v>
      </c>
      <c r="AA12" s="401">
        <f t="shared" si="12"/>
        <v>7978.3975</v>
      </c>
      <c r="AB12" s="362">
        <f t="shared" si="13"/>
        <v>87762.3725</v>
      </c>
      <c r="AC12" s="421">
        <f t="shared" si="14"/>
        <v>87762.3725</v>
      </c>
      <c r="AD12" s="421">
        <f t="shared" si="15"/>
        <v>1053148.47</v>
      </c>
      <c r="AE12" s="105">
        <f t="shared" si="16"/>
        <v>1.33</v>
      </c>
      <c r="AF12" s="430">
        <f t="shared" si="1"/>
        <v>159169.030125</v>
      </c>
    </row>
    <row r="13" ht="36.75" customHeight="1" spans="1:32">
      <c r="A13" s="82">
        <v>6</v>
      </c>
      <c r="B13" s="15" t="s">
        <v>70</v>
      </c>
      <c r="C13" s="16" t="s">
        <v>71</v>
      </c>
      <c r="D13" s="15" t="s">
        <v>59</v>
      </c>
      <c r="E13" s="136" t="s">
        <v>60</v>
      </c>
      <c r="F13" s="18" t="s">
        <v>61</v>
      </c>
      <c r="G13" s="86">
        <v>26</v>
      </c>
      <c r="H13" s="20">
        <v>5.41</v>
      </c>
      <c r="I13" s="105">
        <f t="shared" si="0"/>
        <v>0.72</v>
      </c>
      <c r="J13" s="109"/>
      <c r="K13" s="397"/>
      <c r="L13" s="404"/>
      <c r="M13" s="399">
        <v>10</v>
      </c>
      <c r="N13" s="154">
        <v>3</v>
      </c>
      <c r="O13" s="400">
        <f t="shared" si="2"/>
        <v>13</v>
      </c>
      <c r="P13" s="401">
        <f t="shared" si="3"/>
        <v>0</v>
      </c>
      <c r="Q13" s="421">
        <f t="shared" si="4"/>
        <v>0</v>
      </c>
      <c r="R13" s="421">
        <f t="shared" si="5"/>
        <v>0</v>
      </c>
      <c r="S13" s="421">
        <f t="shared" si="6"/>
        <v>53189.3166666667</v>
      </c>
      <c r="T13" s="421">
        <f t="shared" si="7"/>
        <v>15956.795</v>
      </c>
      <c r="U13" s="421">
        <f t="shared" si="8"/>
        <v>69146.1116666667</v>
      </c>
      <c r="V13" s="421">
        <v>50</v>
      </c>
      <c r="W13" s="421">
        <f t="shared" si="9"/>
        <v>34573.0558333333</v>
      </c>
      <c r="X13" s="422">
        <v>25</v>
      </c>
      <c r="Y13" s="421">
        <f t="shared" si="10"/>
        <v>8643.26395833333</v>
      </c>
      <c r="Z13" s="421">
        <f t="shared" si="11"/>
        <v>43216.3197916667</v>
      </c>
      <c r="AA13" s="401"/>
      <c r="AB13" s="362">
        <f t="shared" si="13"/>
        <v>43216.3197916667</v>
      </c>
      <c r="AC13" s="421">
        <f t="shared" si="14"/>
        <v>43216.3197916667</v>
      </c>
      <c r="AD13" s="421">
        <f t="shared" si="15"/>
        <v>518595.8375</v>
      </c>
      <c r="AE13" s="105">
        <f t="shared" si="16"/>
        <v>0.72</v>
      </c>
      <c r="AF13" s="430">
        <f t="shared" si="1"/>
        <v>86166.693</v>
      </c>
    </row>
    <row r="14" ht="36.75" customHeight="1" spans="1:32">
      <c r="A14" s="82">
        <v>8</v>
      </c>
      <c r="B14" s="164" t="s">
        <v>72</v>
      </c>
      <c r="C14" s="15" t="s">
        <v>73</v>
      </c>
      <c r="D14" s="15" t="s">
        <v>59</v>
      </c>
      <c r="E14" s="136" t="s">
        <v>60</v>
      </c>
      <c r="F14" s="18" t="s">
        <v>74</v>
      </c>
      <c r="G14" s="86">
        <v>19.4</v>
      </c>
      <c r="H14" s="15">
        <v>5.24</v>
      </c>
      <c r="I14" s="105">
        <f t="shared" si="0"/>
        <v>0.33</v>
      </c>
      <c r="J14" s="109"/>
      <c r="K14" s="405"/>
      <c r="L14" s="404">
        <v>4</v>
      </c>
      <c r="M14" s="399">
        <v>2</v>
      </c>
      <c r="N14" s="154"/>
      <c r="O14" s="400">
        <f t="shared" si="2"/>
        <v>6</v>
      </c>
      <c r="P14" s="401">
        <f t="shared" si="3"/>
        <v>0</v>
      </c>
      <c r="Q14" s="421">
        <f t="shared" si="4"/>
        <v>0</v>
      </c>
      <c r="R14" s="421">
        <f t="shared" si="5"/>
        <v>20607.1733333333</v>
      </c>
      <c r="S14" s="421">
        <f t="shared" si="6"/>
        <v>10303.5866666667</v>
      </c>
      <c r="T14" s="421">
        <f t="shared" si="7"/>
        <v>0</v>
      </c>
      <c r="U14" s="421">
        <f t="shared" si="8"/>
        <v>30910.76</v>
      </c>
      <c r="V14" s="421">
        <v>50</v>
      </c>
      <c r="W14" s="421">
        <f t="shared" si="9"/>
        <v>15455.38</v>
      </c>
      <c r="X14" s="422">
        <v>25</v>
      </c>
      <c r="Y14" s="421">
        <f t="shared" si="10"/>
        <v>3863.845</v>
      </c>
      <c r="Z14" s="421">
        <f t="shared" si="11"/>
        <v>19319.225</v>
      </c>
      <c r="AA14" s="401">
        <f t="shared" si="12"/>
        <v>1931.9225</v>
      </c>
      <c r="AB14" s="362">
        <f t="shared" si="13"/>
        <v>21251.1475</v>
      </c>
      <c r="AC14" s="421">
        <f t="shared" si="14"/>
        <v>21251.1475</v>
      </c>
      <c r="AD14" s="421">
        <f t="shared" si="15"/>
        <v>255013.77</v>
      </c>
      <c r="AE14" s="105">
        <f t="shared" si="16"/>
        <v>0.33</v>
      </c>
      <c r="AF14" s="430">
        <f t="shared" si="1"/>
        <v>38252.0655</v>
      </c>
    </row>
    <row r="15" s="345" customFormat="1" ht="18.75" customHeight="1" spans="1:32">
      <c r="A15" s="359"/>
      <c r="B15" s="48" t="s">
        <v>75</v>
      </c>
      <c r="C15" s="105"/>
      <c r="D15" s="105"/>
      <c r="E15" s="360"/>
      <c r="F15" s="361"/>
      <c r="G15" s="362"/>
      <c r="H15" s="363"/>
      <c r="I15" s="48">
        <f t="shared" ref="I15:N15" si="17">SUM(I9:I14)</f>
        <v>6.91</v>
      </c>
      <c r="J15" s="48">
        <f t="shared" si="17"/>
        <v>0</v>
      </c>
      <c r="K15" s="48">
        <f t="shared" si="17"/>
        <v>0</v>
      </c>
      <c r="L15" s="48">
        <f t="shared" si="17"/>
        <v>40</v>
      </c>
      <c r="M15" s="48">
        <f t="shared" si="17"/>
        <v>69</v>
      </c>
      <c r="N15" s="48">
        <f t="shared" si="17"/>
        <v>15.5</v>
      </c>
      <c r="O15" s="400">
        <f t="shared" si="2"/>
        <v>124.5</v>
      </c>
      <c r="P15" s="48">
        <f>SUM(P9:P14)</f>
        <v>0</v>
      </c>
      <c r="Q15" s="48">
        <f>SUM(Q9:Q14)</f>
        <v>0</v>
      </c>
      <c r="R15" s="48">
        <f>SUM(R9:R14)</f>
        <v>212088.713333333</v>
      </c>
      <c r="S15" s="48">
        <f>SUM(S9:S14)</f>
        <v>366672.008333333</v>
      </c>
      <c r="T15" s="48">
        <f>SUM(T9:T14)</f>
        <v>82443.4408333333</v>
      </c>
      <c r="U15" s="48">
        <f t="shared" ref="U15:Y15" si="18">SUM(U9:U14)</f>
        <v>661204.1625</v>
      </c>
      <c r="V15" s="48">
        <f t="shared" si="18"/>
        <v>300</v>
      </c>
      <c r="W15" s="48">
        <f t="shared" si="18"/>
        <v>330602.08125</v>
      </c>
      <c r="X15" s="48">
        <f t="shared" si="18"/>
        <v>150</v>
      </c>
      <c r="Y15" s="48">
        <f t="shared" si="18"/>
        <v>82650.5203125</v>
      </c>
      <c r="Z15" s="421">
        <f t="shared" si="11"/>
        <v>413252.6015625</v>
      </c>
      <c r="AA15" s="48">
        <f t="shared" ref="AA15" si="19">SUM(AA9:AA14)</f>
        <v>37003.6281770833</v>
      </c>
      <c r="AB15" s="48">
        <f t="shared" ref="AB15" si="20">SUM(AB9:AB14)</f>
        <v>450256.229739583</v>
      </c>
      <c r="AC15" s="48">
        <f t="shared" ref="AC15" si="21">SUM(AC9:AC14)</f>
        <v>450256.229739583</v>
      </c>
      <c r="AD15" s="48">
        <f t="shared" ref="AD15:AF15" si="22">SUM(AD9:AD14)</f>
        <v>5403074.756875</v>
      </c>
      <c r="AE15" s="105">
        <f t="shared" si="16"/>
        <v>6.91</v>
      </c>
      <c r="AF15" s="48">
        <f t="shared" si="22"/>
        <v>825719.89875</v>
      </c>
    </row>
    <row r="16" ht="36.75" customHeight="1" spans="1:32">
      <c r="A16" s="82">
        <v>1</v>
      </c>
      <c r="B16" s="15" t="s">
        <v>76</v>
      </c>
      <c r="C16" s="15" t="s">
        <v>77</v>
      </c>
      <c r="D16" s="15" t="s">
        <v>59</v>
      </c>
      <c r="E16" s="85" t="s">
        <v>78</v>
      </c>
      <c r="F16" s="18">
        <v>1</v>
      </c>
      <c r="G16" s="143">
        <v>28.1</v>
      </c>
      <c r="H16" s="20">
        <v>5.2</v>
      </c>
      <c r="I16" s="105">
        <f t="shared" si="0"/>
        <v>1.17</v>
      </c>
      <c r="J16" s="109"/>
      <c r="K16" s="402"/>
      <c r="L16" s="404"/>
      <c r="M16" s="399">
        <v>17</v>
      </c>
      <c r="N16" s="154">
        <v>4</v>
      </c>
      <c r="O16" s="400">
        <f t="shared" si="2"/>
        <v>21</v>
      </c>
      <c r="P16" s="401">
        <f t="shared" ref="P16:P27" si="23">SUM(($H$4*H16)/24)*J16</f>
        <v>0</v>
      </c>
      <c r="Q16" s="421">
        <f t="shared" ref="Q16:Q27" si="24">SUM(($H$4*H16)/24)*K16</f>
        <v>0</v>
      </c>
      <c r="R16" s="421">
        <f t="shared" ref="R16:R27" si="25">($H$4*H16)/18*L16</f>
        <v>0</v>
      </c>
      <c r="S16" s="421">
        <f t="shared" ref="S16:S27" si="26">($H$4*H16)*M16/18</f>
        <v>86911.9333333333</v>
      </c>
      <c r="T16" s="421">
        <f t="shared" ref="T16:T27" si="27">($H$4*H16)/18*N16</f>
        <v>20449.8666666667</v>
      </c>
      <c r="U16" s="421">
        <f t="shared" si="8"/>
        <v>107361.8</v>
      </c>
      <c r="V16" s="421">
        <v>50</v>
      </c>
      <c r="W16" s="421">
        <f t="shared" si="9"/>
        <v>53680.9</v>
      </c>
      <c r="X16" s="422">
        <v>25</v>
      </c>
      <c r="Y16" s="421">
        <f t="shared" si="10"/>
        <v>13420.225</v>
      </c>
      <c r="Z16" s="421">
        <f t="shared" si="11"/>
        <v>67101.125</v>
      </c>
      <c r="AA16" s="401">
        <f t="shared" si="12"/>
        <v>6710.1125</v>
      </c>
      <c r="AB16" s="362">
        <f t="shared" si="13"/>
        <v>73811.2375</v>
      </c>
      <c r="AC16" s="421">
        <f t="shared" si="14"/>
        <v>73811.2375</v>
      </c>
      <c r="AD16" s="421">
        <f t="shared" si="15"/>
        <v>885734.85</v>
      </c>
      <c r="AE16" s="105">
        <f t="shared" si="16"/>
        <v>1.17</v>
      </c>
      <c r="AF16" s="430">
        <f t="shared" ref="AF16:AF27" si="28">SUM(($H$4*H16)+(($H$4*H16*X16)/100))*AE16</f>
        <v>134585.685</v>
      </c>
    </row>
    <row r="17" s="346" customFormat="1" ht="39.75" customHeight="1" spans="1:33">
      <c r="A17" s="364">
        <v>2</v>
      </c>
      <c r="B17" s="15" t="s">
        <v>79</v>
      </c>
      <c r="C17" s="16" t="s">
        <v>65</v>
      </c>
      <c r="D17" s="15" t="s">
        <v>59</v>
      </c>
      <c r="E17" s="136" t="s">
        <v>78</v>
      </c>
      <c r="F17" s="18" t="s">
        <v>80</v>
      </c>
      <c r="G17" s="86">
        <v>14.4</v>
      </c>
      <c r="H17" s="15">
        <v>4.95</v>
      </c>
      <c r="I17" s="105">
        <f t="shared" si="0"/>
        <v>0.72</v>
      </c>
      <c r="J17" s="109"/>
      <c r="K17" s="402"/>
      <c r="L17" s="404"/>
      <c r="M17" s="399">
        <v>10</v>
      </c>
      <c r="N17" s="154">
        <v>3</v>
      </c>
      <c r="O17" s="400">
        <f t="shared" si="2"/>
        <v>13</v>
      </c>
      <c r="P17" s="401">
        <f t="shared" si="23"/>
        <v>0</v>
      </c>
      <c r="Q17" s="421">
        <f t="shared" si="24"/>
        <v>0</v>
      </c>
      <c r="R17" s="421">
        <f t="shared" si="25"/>
        <v>0</v>
      </c>
      <c r="S17" s="421">
        <f t="shared" si="26"/>
        <v>48666.75</v>
      </c>
      <c r="T17" s="421">
        <f t="shared" si="27"/>
        <v>14600.025</v>
      </c>
      <c r="U17" s="421">
        <f t="shared" si="8"/>
        <v>63266.775</v>
      </c>
      <c r="V17" s="421">
        <v>50</v>
      </c>
      <c r="W17" s="421">
        <f t="shared" si="9"/>
        <v>31633.3875</v>
      </c>
      <c r="X17" s="422">
        <v>25</v>
      </c>
      <c r="Y17" s="421">
        <f t="shared" si="10"/>
        <v>7908.346875</v>
      </c>
      <c r="Z17" s="421">
        <f t="shared" si="11"/>
        <v>39541.734375</v>
      </c>
      <c r="AA17" s="401"/>
      <c r="AB17" s="362">
        <f t="shared" si="13"/>
        <v>39541.734375</v>
      </c>
      <c r="AC17" s="421">
        <f t="shared" si="14"/>
        <v>39541.734375</v>
      </c>
      <c r="AD17" s="421">
        <f t="shared" si="15"/>
        <v>474500.8125</v>
      </c>
      <c r="AE17" s="105">
        <f t="shared" si="16"/>
        <v>0.72</v>
      </c>
      <c r="AF17" s="430">
        <f t="shared" si="28"/>
        <v>78840.135</v>
      </c>
      <c r="AG17" s="77"/>
    </row>
    <row r="18" ht="40.5" customHeight="1" spans="1:32">
      <c r="A18" s="365"/>
      <c r="B18" s="15" t="s">
        <v>81</v>
      </c>
      <c r="C18" s="16"/>
      <c r="D18" s="15"/>
      <c r="E18" s="136"/>
      <c r="F18" s="18"/>
      <c r="G18" s="86">
        <v>14.4</v>
      </c>
      <c r="H18" s="15">
        <v>4.95</v>
      </c>
      <c r="I18" s="105">
        <f t="shared" si="0"/>
        <v>0.11</v>
      </c>
      <c r="J18" s="109"/>
      <c r="K18" s="402"/>
      <c r="L18" s="404"/>
      <c r="M18" s="399"/>
      <c r="N18" s="154">
        <v>2</v>
      </c>
      <c r="O18" s="400">
        <f t="shared" si="2"/>
        <v>2</v>
      </c>
      <c r="P18" s="401"/>
      <c r="Q18" s="421">
        <f t="shared" si="24"/>
        <v>0</v>
      </c>
      <c r="R18" s="421">
        <f t="shared" si="25"/>
        <v>0</v>
      </c>
      <c r="S18" s="421">
        <f t="shared" si="26"/>
        <v>0</v>
      </c>
      <c r="T18" s="421">
        <f t="shared" si="27"/>
        <v>9733.35</v>
      </c>
      <c r="U18" s="421">
        <f t="shared" si="8"/>
        <v>9733.35</v>
      </c>
      <c r="V18" s="421">
        <v>50</v>
      </c>
      <c r="W18" s="421">
        <f t="shared" si="9"/>
        <v>4866.675</v>
      </c>
      <c r="X18" s="422">
        <v>25</v>
      </c>
      <c r="Y18" s="421">
        <f t="shared" si="10"/>
        <v>1216.66875</v>
      </c>
      <c r="Z18" s="421">
        <f t="shared" si="11"/>
        <v>6083.34375</v>
      </c>
      <c r="AA18" s="401"/>
      <c r="AB18" s="362">
        <f t="shared" si="13"/>
        <v>6083.34375</v>
      </c>
      <c r="AC18" s="421">
        <f t="shared" si="14"/>
        <v>6083.34375</v>
      </c>
      <c r="AD18" s="421">
        <f t="shared" si="15"/>
        <v>73000.125</v>
      </c>
      <c r="AE18" s="105">
        <f t="shared" si="16"/>
        <v>0.11</v>
      </c>
      <c r="AF18" s="430">
        <f t="shared" si="28"/>
        <v>12045.020625</v>
      </c>
    </row>
    <row r="19" ht="40.5" customHeight="1" spans="1:32">
      <c r="A19" s="82">
        <v>5</v>
      </c>
      <c r="B19" s="145" t="s">
        <v>83</v>
      </c>
      <c r="C19" s="16" t="s">
        <v>71</v>
      </c>
      <c r="D19" s="15" t="s">
        <v>59</v>
      </c>
      <c r="E19" s="136" t="s">
        <v>78</v>
      </c>
      <c r="F19" s="18" t="s">
        <v>80</v>
      </c>
      <c r="G19" s="146">
        <v>39.6</v>
      </c>
      <c r="H19" s="20">
        <v>5.2</v>
      </c>
      <c r="I19" s="105">
        <f t="shared" si="0"/>
        <v>1.22</v>
      </c>
      <c r="J19" s="109"/>
      <c r="K19" s="402"/>
      <c r="L19" s="404">
        <v>8</v>
      </c>
      <c r="M19" s="399">
        <v>12</v>
      </c>
      <c r="N19" s="154">
        <v>2</v>
      </c>
      <c r="O19" s="400">
        <f t="shared" si="2"/>
        <v>22</v>
      </c>
      <c r="P19" s="401">
        <f t="shared" si="23"/>
        <v>0</v>
      </c>
      <c r="Q19" s="421">
        <f t="shared" si="24"/>
        <v>0</v>
      </c>
      <c r="R19" s="421">
        <f t="shared" si="25"/>
        <v>40899.7333333333</v>
      </c>
      <c r="S19" s="421">
        <f t="shared" si="26"/>
        <v>61349.6</v>
      </c>
      <c r="T19" s="421">
        <f t="shared" si="27"/>
        <v>10224.9333333333</v>
      </c>
      <c r="U19" s="421">
        <f t="shared" si="8"/>
        <v>112474.266666667</v>
      </c>
      <c r="V19" s="421">
        <v>50</v>
      </c>
      <c r="W19" s="421">
        <f t="shared" si="9"/>
        <v>56237.1333333333</v>
      </c>
      <c r="X19" s="422">
        <v>25</v>
      </c>
      <c r="Y19" s="421">
        <f t="shared" si="10"/>
        <v>14059.2833333333</v>
      </c>
      <c r="Z19" s="421">
        <f t="shared" si="11"/>
        <v>70296.4166666667</v>
      </c>
      <c r="AA19" s="401">
        <f t="shared" si="12"/>
        <v>7029.64166666667</v>
      </c>
      <c r="AB19" s="362">
        <f t="shared" si="13"/>
        <v>77326.0583333333</v>
      </c>
      <c r="AC19" s="421">
        <f t="shared" si="14"/>
        <v>77326.0583333333</v>
      </c>
      <c r="AD19" s="421">
        <f t="shared" si="15"/>
        <v>927912.7</v>
      </c>
      <c r="AE19" s="105">
        <f t="shared" si="16"/>
        <v>1.22</v>
      </c>
      <c r="AF19" s="430">
        <f t="shared" si="28"/>
        <v>140337.21</v>
      </c>
    </row>
    <row r="20" ht="42" customHeight="1" spans="1:32">
      <c r="A20" s="82">
        <v>6</v>
      </c>
      <c r="B20" s="145" t="s">
        <v>84</v>
      </c>
      <c r="C20" s="15" t="s">
        <v>58</v>
      </c>
      <c r="D20" s="15" t="s">
        <v>59</v>
      </c>
      <c r="E20" s="136" t="s">
        <v>78</v>
      </c>
      <c r="F20" s="18" t="s">
        <v>80</v>
      </c>
      <c r="G20" s="146">
        <v>19.4</v>
      </c>
      <c r="H20" s="15">
        <v>5.03</v>
      </c>
      <c r="I20" s="105">
        <f t="shared" si="0"/>
        <v>1.33</v>
      </c>
      <c r="J20" s="109"/>
      <c r="K20" s="402"/>
      <c r="L20" s="404">
        <v>22</v>
      </c>
      <c r="M20" s="399">
        <v>1</v>
      </c>
      <c r="N20" s="154">
        <v>1</v>
      </c>
      <c r="O20" s="400">
        <f t="shared" si="2"/>
        <v>24</v>
      </c>
      <c r="P20" s="401">
        <f t="shared" si="23"/>
        <v>0</v>
      </c>
      <c r="Q20" s="421">
        <f t="shared" si="24"/>
        <v>0</v>
      </c>
      <c r="R20" s="421">
        <f t="shared" si="25"/>
        <v>108797.223333333</v>
      </c>
      <c r="S20" s="421">
        <f t="shared" si="26"/>
        <v>4945.32833333333</v>
      </c>
      <c r="T20" s="421">
        <f t="shared" si="27"/>
        <v>4945.32833333333</v>
      </c>
      <c r="U20" s="421">
        <f t="shared" si="8"/>
        <v>118687.88</v>
      </c>
      <c r="V20" s="421">
        <v>50</v>
      </c>
      <c r="W20" s="421">
        <f t="shared" si="9"/>
        <v>59343.94</v>
      </c>
      <c r="X20" s="422">
        <v>25</v>
      </c>
      <c r="Y20" s="421">
        <f t="shared" si="10"/>
        <v>14835.985</v>
      </c>
      <c r="Z20" s="421">
        <f t="shared" si="11"/>
        <v>74179.925</v>
      </c>
      <c r="AA20" s="401">
        <f t="shared" si="12"/>
        <v>7417.9925</v>
      </c>
      <c r="AB20" s="362">
        <f t="shared" si="13"/>
        <v>81597.9175</v>
      </c>
      <c r="AC20" s="421">
        <f t="shared" si="14"/>
        <v>81597.9175</v>
      </c>
      <c r="AD20" s="421">
        <f t="shared" si="15"/>
        <v>979175.01</v>
      </c>
      <c r="AE20" s="105">
        <f t="shared" si="16"/>
        <v>1.33</v>
      </c>
      <c r="AF20" s="430">
        <f t="shared" si="28"/>
        <v>147988.950375</v>
      </c>
    </row>
    <row r="21" ht="36.75" customHeight="1" spans="1:32">
      <c r="A21" s="82">
        <v>7</v>
      </c>
      <c r="B21" s="15" t="s">
        <v>85</v>
      </c>
      <c r="C21" s="15" t="s">
        <v>86</v>
      </c>
      <c r="D21" s="15" t="s">
        <v>59</v>
      </c>
      <c r="E21" s="136" t="s">
        <v>78</v>
      </c>
      <c r="F21" s="18" t="s">
        <v>87</v>
      </c>
      <c r="G21" s="180">
        <v>11.3</v>
      </c>
      <c r="H21" s="15">
        <v>4.86</v>
      </c>
      <c r="I21" s="105">
        <f t="shared" si="0"/>
        <v>1.53</v>
      </c>
      <c r="J21" s="109"/>
      <c r="K21" s="403"/>
      <c r="L21" s="404"/>
      <c r="M21" s="399">
        <v>20</v>
      </c>
      <c r="N21" s="154">
        <v>7.5</v>
      </c>
      <c r="O21" s="400">
        <f t="shared" si="2"/>
        <v>27.5</v>
      </c>
      <c r="P21" s="401">
        <f t="shared" si="23"/>
        <v>0</v>
      </c>
      <c r="Q21" s="421">
        <f t="shared" si="24"/>
        <v>0</v>
      </c>
      <c r="R21" s="421">
        <f t="shared" si="25"/>
        <v>0</v>
      </c>
      <c r="S21" s="421">
        <f t="shared" si="26"/>
        <v>95563.8</v>
      </c>
      <c r="T21" s="421">
        <f t="shared" si="27"/>
        <v>35836.425</v>
      </c>
      <c r="U21" s="421">
        <f t="shared" si="8"/>
        <v>131400.225</v>
      </c>
      <c r="V21" s="421">
        <v>50</v>
      </c>
      <c r="W21" s="421">
        <f t="shared" si="9"/>
        <v>65700.1125</v>
      </c>
      <c r="X21" s="422">
        <v>25</v>
      </c>
      <c r="Y21" s="421">
        <f t="shared" si="10"/>
        <v>16425.028125</v>
      </c>
      <c r="Z21" s="421">
        <f t="shared" si="11"/>
        <v>82125.140625</v>
      </c>
      <c r="AA21" s="401">
        <f t="shared" si="12"/>
        <v>8212.5140625</v>
      </c>
      <c r="AB21" s="362">
        <f t="shared" si="13"/>
        <v>90337.6546875</v>
      </c>
      <c r="AC21" s="421">
        <f t="shared" si="14"/>
        <v>90337.6546875</v>
      </c>
      <c r="AD21" s="421">
        <f t="shared" si="15"/>
        <v>1084051.85625</v>
      </c>
      <c r="AE21" s="105">
        <f t="shared" si="16"/>
        <v>1.53</v>
      </c>
      <c r="AF21" s="430">
        <f t="shared" si="28"/>
        <v>164489.19075</v>
      </c>
    </row>
    <row r="22" ht="31.5" customHeight="1" spans="1:32">
      <c r="A22" s="82">
        <v>9</v>
      </c>
      <c r="B22" s="15" t="s">
        <v>88</v>
      </c>
      <c r="C22" s="15" t="s">
        <v>89</v>
      </c>
      <c r="D22" s="15" t="s">
        <v>59</v>
      </c>
      <c r="E22" s="136" t="s">
        <v>78</v>
      </c>
      <c r="F22" s="18" t="s">
        <v>87</v>
      </c>
      <c r="G22" s="86">
        <v>17.1</v>
      </c>
      <c r="H22" s="15">
        <v>5.03</v>
      </c>
      <c r="I22" s="105">
        <f t="shared" si="0"/>
        <v>0.78</v>
      </c>
      <c r="J22" s="109"/>
      <c r="K22" s="48"/>
      <c r="L22" s="404"/>
      <c r="M22" s="399">
        <v>11</v>
      </c>
      <c r="N22" s="154">
        <v>3</v>
      </c>
      <c r="O22" s="400">
        <f t="shared" si="2"/>
        <v>14</v>
      </c>
      <c r="P22" s="401">
        <f t="shared" si="23"/>
        <v>0</v>
      </c>
      <c r="Q22" s="421">
        <f t="shared" si="24"/>
        <v>0</v>
      </c>
      <c r="R22" s="421">
        <f t="shared" si="25"/>
        <v>0</v>
      </c>
      <c r="S22" s="421">
        <f t="shared" si="26"/>
        <v>54398.6116666667</v>
      </c>
      <c r="T22" s="421">
        <f t="shared" si="27"/>
        <v>14835.985</v>
      </c>
      <c r="U22" s="421">
        <f t="shared" si="8"/>
        <v>69234.5966666667</v>
      </c>
      <c r="V22" s="421">
        <v>50</v>
      </c>
      <c r="W22" s="421">
        <f t="shared" si="9"/>
        <v>34617.2983333333</v>
      </c>
      <c r="X22" s="422">
        <v>25</v>
      </c>
      <c r="Y22" s="421">
        <f t="shared" si="10"/>
        <v>8654.32458333333</v>
      </c>
      <c r="Z22" s="421">
        <f t="shared" si="11"/>
        <v>43271.6229166667</v>
      </c>
      <c r="AA22" s="401">
        <f t="shared" si="12"/>
        <v>4327.16229166667</v>
      </c>
      <c r="AB22" s="362">
        <f t="shared" si="13"/>
        <v>47598.7852083333</v>
      </c>
      <c r="AC22" s="421">
        <f t="shared" si="14"/>
        <v>47598.7852083333</v>
      </c>
      <c r="AD22" s="421">
        <f t="shared" si="15"/>
        <v>571185.4225</v>
      </c>
      <c r="AE22" s="105">
        <f t="shared" si="16"/>
        <v>0.78</v>
      </c>
      <c r="AF22" s="430">
        <f t="shared" si="28"/>
        <v>86790.51225</v>
      </c>
    </row>
    <row r="23" ht="36" customHeight="1" spans="1:32">
      <c r="A23" s="82">
        <v>10</v>
      </c>
      <c r="B23" s="15" t="s">
        <v>90</v>
      </c>
      <c r="C23" s="15" t="s">
        <v>91</v>
      </c>
      <c r="D23" s="15" t="s">
        <v>59</v>
      </c>
      <c r="E23" s="136" t="s">
        <v>78</v>
      </c>
      <c r="F23" s="18" t="s">
        <v>87</v>
      </c>
      <c r="G23" s="86">
        <v>17</v>
      </c>
      <c r="H23" s="15">
        <v>5.03</v>
      </c>
      <c r="I23" s="105">
        <f t="shared" si="0"/>
        <v>0.61</v>
      </c>
      <c r="J23" s="109"/>
      <c r="K23" s="48"/>
      <c r="L23" s="404"/>
      <c r="M23" s="406">
        <v>7</v>
      </c>
      <c r="N23" s="154">
        <v>4</v>
      </c>
      <c r="O23" s="400">
        <f t="shared" si="2"/>
        <v>11</v>
      </c>
      <c r="P23" s="401">
        <f t="shared" si="23"/>
        <v>0</v>
      </c>
      <c r="Q23" s="421">
        <f t="shared" si="24"/>
        <v>0</v>
      </c>
      <c r="R23" s="421">
        <f t="shared" si="25"/>
        <v>0</v>
      </c>
      <c r="S23" s="421">
        <f t="shared" si="26"/>
        <v>34617.2983333333</v>
      </c>
      <c r="T23" s="421">
        <f t="shared" si="27"/>
        <v>19781.3133333333</v>
      </c>
      <c r="U23" s="421">
        <f t="shared" si="8"/>
        <v>54398.6116666667</v>
      </c>
      <c r="V23" s="421">
        <v>50</v>
      </c>
      <c r="W23" s="421">
        <f t="shared" si="9"/>
        <v>27199.3058333333</v>
      </c>
      <c r="X23" s="422">
        <v>25</v>
      </c>
      <c r="Y23" s="421">
        <f t="shared" si="10"/>
        <v>6799.82645833333</v>
      </c>
      <c r="Z23" s="421">
        <f t="shared" si="11"/>
        <v>33999.1322916667</v>
      </c>
      <c r="AA23" s="401">
        <f t="shared" si="12"/>
        <v>3399.91322916667</v>
      </c>
      <c r="AB23" s="362">
        <f t="shared" si="13"/>
        <v>37399.0455208333</v>
      </c>
      <c r="AC23" s="421">
        <f t="shared" si="14"/>
        <v>37399.0455208333</v>
      </c>
      <c r="AD23" s="421">
        <f t="shared" si="15"/>
        <v>448788.54625</v>
      </c>
      <c r="AE23" s="105">
        <f t="shared" si="16"/>
        <v>0.61</v>
      </c>
      <c r="AF23" s="430">
        <f t="shared" si="28"/>
        <v>67874.631375</v>
      </c>
    </row>
    <row r="24" ht="36" customHeight="1" spans="1:32">
      <c r="A24" s="82">
        <v>11</v>
      </c>
      <c r="B24" s="15" t="s">
        <v>92</v>
      </c>
      <c r="C24" s="15" t="s">
        <v>93</v>
      </c>
      <c r="D24" s="15" t="s">
        <v>59</v>
      </c>
      <c r="E24" s="136" t="s">
        <v>78</v>
      </c>
      <c r="F24" s="18" t="s">
        <v>87</v>
      </c>
      <c r="G24" s="86">
        <v>25.5</v>
      </c>
      <c r="H24" s="180">
        <v>5.2</v>
      </c>
      <c r="I24" s="105">
        <f t="shared" si="0"/>
        <v>0.61</v>
      </c>
      <c r="J24" s="109"/>
      <c r="K24" s="48"/>
      <c r="L24" s="404"/>
      <c r="M24" s="399">
        <v>11</v>
      </c>
      <c r="N24" s="154"/>
      <c r="O24" s="400">
        <f t="shared" si="2"/>
        <v>11</v>
      </c>
      <c r="P24" s="401">
        <f t="shared" si="23"/>
        <v>0</v>
      </c>
      <c r="Q24" s="421">
        <f t="shared" si="24"/>
        <v>0</v>
      </c>
      <c r="R24" s="421">
        <f t="shared" si="25"/>
        <v>0</v>
      </c>
      <c r="S24" s="421">
        <f t="shared" si="26"/>
        <v>56237.1333333333</v>
      </c>
      <c r="T24" s="421">
        <f t="shared" si="27"/>
        <v>0</v>
      </c>
      <c r="U24" s="421">
        <f t="shared" si="8"/>
        <v>56237.1333333333</v>
      </c>
      <c r="V24" s="421">
        <v>50</v>
      </c>
      <c r="W24" s="421">
        <f t="shared" si="9"/>
        <v>28118.5666666667</v>
      </c>
      <c r="X24" s="422">
        <v>25</v>
      </c>
      <c r="Y24" s="421">
        <f t="shared" si="10"/>
        <v>7029.64166666667</v>
      </c>
      <c r="Z24" s="421">
        <f t="shared" si="11"/>
        <v>35148.2083333333</v>
      </c>
      <c r="AA24" s="401"/>
      <c r="AB24" s="362">
        <f t="shared" si="13"/>
        <v>35148.2083333333</v>
      </c>
      <c r="AC24" s="421">
        <f t="shared" si="14"/>
        <v>35148.2083333333</v>
      </c>
      <c r="AD24" s="421">
        <f t="shared" si="15"/>
        <v>421778.5</v>
      </c>
      <c r="AE24" s="105">
        <f t="shared" si="16"/>
        <v>0.61</v>
      </c>
      <c r="AF24" s="430">
        <f t="shared" si="28"/>
        <v>70168.605</v>
      </c>
    </row>
    <row r="25" ht="36" customHeight="1" spans="1:32">
      <c r="A25" s="82">
        <v>12</v>
      </c>
      <c r="B25" s="15" t="s">
        <v>94</v>
      </c>
      <c r="C25" s="15" t="s">
        <v>68</v>
      </c>
      <c r="D25" s="15" t="s">
        <v>59</v>
      </c>
      <c r="E25" s="136" t="s">
        <v>78</v>
      </c>
      <c r="F25" s="18">
        <v>1</v>
      </c>
      <c r="G25" s="86">
        <v>35.4</v>
      </c>
      <c r="H25" s="180">
        <v>5.2</v>
      </c>
      <c r="I25" s="105">
        <f t="shared" si="0"/>
        <v>0.61</v>
      </c>
      <c r="J25" s="109"/>
      <c r="K25" s="48"/>
      <c r="L25" s="404"/>
      <c r="M25" s="399">
        <v>5</v>
      </c>
      <c r="N25" s="154">
        <v>6</v>
      </c>
      <c r="O25" s="400">
        <f t="shared" si="2"/>
        <v>11</v>
      </c>
      <c r="P25" s="401">
        <f t="shared" si="23"/>
        <v>0</v>
      </c>
      <c r="Q25" s="421">
        <f t="shared" si="24"/>
        <v>0</v>
      </c>
      <c r="R25" s="421">
        <f t="shared" si="25"/>
        <v>0</v>
      </c>
      <c r="S25" s="421">
        <f t="shared" si="26"/>
        <v>25562.3333333333</v>
      </c>
      <c r="T25" s="421">
        <f t="shared" si="27"/>
        <v>30674.8</v>
      </c>
      <c r="U25" s="421">
        <f t="shared" si="8"/>
        <v>56237.1333333333</v>
      </c>
      <c r="V25" s="421">
        <v>50</v>
      </c>
      <c r="W25" s="421">
        <f t="shared" si="9"/>
        <v>28118.5666666667</v>
      </c>
      <c r="X25" s="422">
        <v>25</v>
      </c>
      <c r="Y25" s="421">
        <f t="shared" si="10"/>
        <v>7029.64166666667</v>
      </c>
      <c r="Z25" s="421">
        <f t="shared" si="11"/>
        <v>35148.2083333333</v>
      </c>
      <c r="AA25" s="401">
        <f t="shared" si="12"/>
        <v>3514.82083333333</v>
      </c>
      <c r="AB25" s="362">
        <f t="shared" si="13"/>
        <v>38663.0291666667</v>
      </c>
      <c r="AC25" s="421">
        <f t="shared" si="14"/>
        <v>38663.0291666667</v>
      </c>
      <c r="AD25" s="421">
        <f t="shared" si="15"/>
        <v>463956.35</v>
      </c>
      <c r="AE25" s="105">
        <f t="shared" si="16"/>
        <v>0.61</v>
      </c>
      <c r="AF25" s="430">
        <f t="shared" si="28"/>
        <v>70168.605</v>
      </c>
    </row>
    <row r="26" ht="36" customHeight="1" spans="1:32">
      <c r="A26" s="82">
        <v>13</v>
      </c>
      <c r="B26" s="15" t="s">
        <v>95</v>
      </c>
      <c r="C26" s="15" t="s">
        <v>58</v>
      </c>
      <c r="D26" s="15" t="s">
        <v>59</v>
      </c>
      <c r="E26" s="136" t="s">
        <v>78</v>
      </c>
      <c r="F26" s="18" t="s">
        <v>80</v>
      </c>
      <c r="G26" s="86">
        <v>8.8</v>
      </c>
      <c r="H26" s="15">
        <v>4.79</v>
      </c>
      <c r="I26" s="105">
        <f t="shared" si="0"/>
        <v>1.06</v>
      </c>
      <c r="J26" s="109"/>
      <c r="K26" s="48"/>
      <c r="L26" s="404">
        <v>19</v>
      </c>
      <c r="M26" s="154"/>
      <c r="N26" s="154"/>
      <c r="O26" s="400">
        <f t="shared" si="2"/>
        <v>19</v>
      </c>
      <c r="P26" s="401">
        <f t="shared" si="23"/>
        <v>0</v>
      </c>
      <c r="Q26" s="421">
        <f t="shared" si="24"/>
        <v>0</v>
      </c>
      <c r="R26" s="421">
        <f t="shared" si="25"/>
        <v>89477.9983333333</v>
      </c>
      <c r="S26" s="421">
        <f t="shared" si="26"/>
        <v>0</v>
      </c>
      <c r="T26" s="421">
        <f t="shared" si="27"/>
        <v>0</v>
      </c>
      <c r="U26" s="421">
        <f t="shared" si="8"/>
        <v>89477.9983333333</v>
      </c>
      <c r="V26" s="421">
        <v>50</v>
      </c>
      <c r="W26" s="421">
        <f t="shared" si="9"/>
        <v>44738.9991666667</v>
      </c>
      <c r="X26" s="422">
        <v>25</v>
      </c>
      <c r="Y26" s="421">
        <f t="shared" si="10"/>
        <v>11184.7497916667</v>
      </c>
      <c r="Z26" s="421">
        <f t="shared" si="11"/>
        <v>55923.7489583333</v>
      </c>
      <c r="AA26" s="401">
        <f t="shared" si="12"/>
        <v>5592.37489583333</v>
      </c>
      <c r="AB26" s="362">
        <f t="shared" si="13"/>
        <v>61516.1238541667</v>
      </c>
      <c r="AC26" s="421">
        <f t="shared" si="14"/>
        <v>61516.1238541667</v>
      </c>
      <c r="AD26" s="421">
        <f t="shared" si="15"/>
        <v>738193.48625</v>
      </c>
      <c r="AE26" s="105">
        <f t="shared" si="16"/>
        <v>1.06</v>
      </c>
      <c r="AF26" s="430">
        <f t="shared" si="28"/>
        <v>112318.43475</v>
      </c>
    </row>
    <row r="27" ht="36" customHeight="1" spans="1:32">
      <c r="A27" s="82">
        <v>14</v>
      </c>
      <c r="B27" s="15" t="s">
        <v>96</v>
      </c>
      <c r="C27" s="15" t="s">
        <v>97</v>
      </c>
      <c r="D27" s="15" t="s">
        <v>59</v>
      </c>
      <c r="E27" s="136" t="s">
        <v>78</v>
      </c>
      <c r="F27" s="18" t="s">
        <v>98</v>
      </c>
      <c r="G27" s="146">
        <v>11.8</v>
      </c>
      <c r="H27" s="15">
        <v>4.86</v>
      </c>
      <c r="I27" s="105">
        <f t="shared" si="0"/>
        <v>1.06</v>
      </c>
      <c r="J27" s="109"/>
      <c r="K27" s="403"/>
      <c r="L27" s="404">
        <v>19</v>
      </c>
      <c r="M27" s="154"/>
      <c r="N27" s="154"/>
      <c r="O27" s="400">
        <f t="shared" si="2"/>
        <v>19</v>
      </c>
      <c r="P27" s="401">
        <f t="shared" si="23"/>
        <v>0</v>
      </c>
      <c r="Q27" s="421">
        <f t="shared" si="24"/>
        <v>0</v>
      </c>
      <c r="R27" s="421">
        <f t="shared" si="25"/>
        <v>90785.61</v>
      </c>
      <c r="S27" s="421">
        <f t="shared" si="26"/>
        <v>0</v>
      </c>
      <c r="T27" s="421">
        <f t="shared" si="27"/>
        <v>0</v>
      </c>
      <c r="U27" s="421">
        <f t="shared" si="8"/>
        <v>90785.61</v>
      </c>
      <c r="V27" s="421">
        <v>50</v>
      </c>
      <c r="W27" s="421">
        <f t="shared" si="9"/>
        <v>45392.805</v>
      </c>
      <c r="X27" s="422">
        <v>25</v>
      </c>
      <c r="Y27" s="421">
        <f t="shared" si="10"/>
        <v>11348.20125</v>
      </c>
      <c r="Z27" s="421">
        <f t="shared" si="11"/>
        <v>56741.00625</v>
      </c>
      <c r="AA27" s="401">
        <f t="shared" si="12"/>
        <v>5674.100625</v>
      </c>
      <c r="AB27" s="362">
        <f t="shared" si="13"/>
        <v>62415.106875</v>
      </c>
      <c r="AC27" s="421">
        <f t="shared" si="14"/>
        <v>62415.106875</v>
      </c>
      <c r="AD27" s="421">
        <f t="shared" si="15"/>
        <v>748981.2825</v>
      </c>
      <c r="AE27" s="105">
        <f t="shared" si="16"/>
        <v>1.06</v>
      </c>
      <c r="AF27" s="430">
        <f t="shared" si="28"/>
        <v>113959.8315</v>
      </c>
    </row>
    <row r="28" ht="36" customHeight="1" spans="1:32">
      <c r="A28" s="358"/>
      <c r="B28" s="48" t="s">
        <v>99</v>
      </c>
      <c r="C28" s="15"/>
      <c r="D28" s="15"/>
      <c r="E28" s="136"/>
      <c r="F28" s="18"/>
      <c r="G28" s="180"/>
      <c r="H28" s="15"/>
      <c r="I28" s="48">
        <f>SUM(I16:I27)</f>
        <v>10.81</v>
      </c>
      <c r="J28" s="109"/>
      <c r="K28" s="403">
        <f>SUM(K16:K27)</f>
        <v>0</v>
      </c>
      <c r="L28" s="403">
        <f>SUM(L16:L27)</f>
        <v>68</v>
      </c>
      <c r="M28" s="403">
        <f>SUM(M16:M27)</f>
        <v>94</v>
      </c>
      <c r="N28" s="146">
        <f>SUM(N16:N27)</f>
        <v>32.5</v>
      </c>
      <c r="O28" s="400">
        <f t="shared" si="2"/>
        <v>194.5</v>
      </c>
      <c r="P28" s="403">
        <f t="shared" ref="P28:Y28" si="29">SUM(P16:P27)</f>
        <v>0</v>
      </c>
      <c r="Q28" s="403">
        <f t="shared" si="29"/>
        <v>0</v>
      </c>
      <c r="R28" s="403">
        <f t="shared" si="29"/>
        <v>329960.565</v>
      </c>
      <c r="S28" s="403">
        <f t="shared" si="29"/>
        <v>468252.788333333</v>
      </c>
      <c r="T28" s="403">
        <f t="shared" si="29"/>
        <v>161082.026666667</v>
      </c>
      <c r="U28" s="403">
        <f t="shared" si="29"/>
        <v>959295.38</v>
      </c>
      <c r="V28" s="403">
        <f t="shared" si="29"/>
        <v>600</v>
      </c>
      <c r="W28" s="403">
        <f t="shared" si="29"/>
        <v>479647.69</v>
      </c>
      <c r="X28" s="403">
        <f t="shared" si="29"/>
        <v>300</v>
      </c>
      <c r="Y28" s="403">
        <f t="shared" si="29"/>
        <v>119911.9225</v>
      </c>
      <c r="Z28" s="421">
        <f t="shared" si="11"/>
        <v>599559.6125</v>
      </c>
      <c r="AA28" s="403">
        <f>SUM(AA16:AA27)</f>
        <v>51878.6326041667</v>
      </c>
      <c r="AB28" s="403">
        <f>SUM(AB16:AB27)</f>
        <v>651438.245104167</v>
      </c>
      <c r="AC28" s="403">
        <f>SUM(AC16:AC27)</f>
        <v>651438.245104167</v>
      </c>
      <c r="AD28" s="403">
        <f>SUM(AD16:AD27)</f>
        <v>7817258.94125</v>
      </c>
      <c r="AE28" s="403">
        <f t="shared" ref="AE28:AF28" si="30">SUM(AE16:AE27)</f>
        <v>10.81</v>
      </c>
      <c r="AF28" s="403">
        <f t="shared" si="30"/>
        <v>1199566.811625</v>
      </c>
    </row>
    <row r="29" ht="31.5" customHeight="1" spans="1:32">
      <c r="A29" s="82">
        <v>1</v>
      </c>
      <c r="B29" s="136" t="s">
        <v>100</v>
      </c>
      <c r="C29" s="15" t="s">
        <v>58</v>
      </c>
      <c r="D29" s="15" t="s">
        <v>59</v>
      </c>
      <c r="E29" s="17" t="s">
        <v>78</v>
      </c>
      <c r="F29" s="18" t="s">
        <v>80</v>
      </c>
      <c r="G29" s="86">
        <v>10.2</v>
      </c>
      <c r="H29" s="15">
        <v>4.86</v>
      </c>
      <c r="I29" s="105">
        <f t="shared" si="0"/>
        <v>1.22</v>
      </c>
      <c r="J29" s="109"/>
      <c r="K29" s="402"/>
      <c r="L29" s="404">
        <v>22</v>
      </c>
      <c r="M29" s="154"/>
      <c r="N29" s="154"/>
      <c r="O29" s="400">
        <f t="shared" si="2"/>
        <v>22</v>
      </c>
      <c r="P29" s="401">
        <f>SUM(($H$4*H29)/24)*J29</f>
        <v>0</v>
      </c>
      <c r="Q29" s="421">
        <f>SUM(($H$4*H29)/24)*K29</f>
        <v>0</v>
      </c>
      <c r="R29" s="421">
        <f>($H$4*H29)/18*L29</f>
        <v>105120.18</v>
      </c>
      <c r="S29" s="421">
        <f>($H$4*H29)*M29/18</f>
        <v>0</v>
      </c>
      <c r="T29" s="421">
        <f>($H$4*H29)/18*N29</f>
        <v>0</v>
      </c>
      <c r="U29" s="421">
        <f t="shared" si="8"/>
        <v>105120.18</v>
      </c>
      <c r="V29" s="421">
        <v>50</v>
      </c>
      <c r="W29" s="421">
        <f t="shared" si="9"/>
        <v>52560.09</v>
      </c>
      <c r="X29" s="422">
        <v>25</v>
      </c>
      <c r="Y29" s="421">
        <f t="shared" si="10"/>
        <v>13140.0225</v>
      </c>
      <c r="Z29" s="421">
        <f t="shared" si="11"/>
        <v>65700.1125</v>
      </c>
      <c r="AA29" s="401">
        <f t="shared" si="12"/>
        <v>6570.01125</v>
      </c>
      <c r="AB29" s="362">
        <f t="shared" si="13"/>
        <v>72270.12375</v>
      </c>
      <c r="AC29" s="421">
        <f t="shared" si="14"/>
        <v>72270.12375</v>
      </c>
      <c r="AD29" s="421">
        <f t="shared" si="15"/>
        <v>867241.485</v>
      </c>
      <c r="AE29" s="105">
        <f t="shared" si="16"/>
        <v>1.22</v>
      </c>
      <c r="AF29" s="430">
        <f>SUM(($H$4*H29)+(($H$4*H29*X29)/100))*AE29</f>
        <v>131161.3155</v>
      </c>
    </row>
    <row r="30" ht="22.5" customHeight="1" spans="1:32">
      <c r="A30" s="148">
        <v>3</v>
      </c>
      <c r="B30" s="15" t="s">
        <v>101</v>
      </c>
      <c r="C30" s="16" t="s">
        <v>102</v>
      </c>
      <c r="D30" s="15" t="s">
        <v>59</v>
      </c>
      <c r="E30" s="136" t="s">
        <v>82</v>
      </c>
      <c r="F30" s="18" t="s">
        <v>103</v>
      </c>
      <c r="G30" s="86">
        <v>4.4</v>
      </c>
      <c r="H30" s="15">
        <v>4.59</v>
      </c>
      <c r="I30" s="105">
        <f t="shared" si="0"/>
        <v>1.17</v>
      </c>
      <c r="J30" s="109"/>
      <c r="K30" s="48"/>
      <c r="L30" s="404"/>
      <c r="M30" s="399">
        <v>18</v>
      </c>
      <c r="N30" s="154">
        <v>3</v>
      </c>
      <c r="O30" s="400">
        <f t="shared" si="2"/>
        <v>21</v>
      </c>
      <c r="P30" s="401">
        <f>SUM(($H$4*H30)/24)*J30</f>
        <v>0</v>
      </c>
      <c r="Q30" s="421">
        <f>SUM(($H$4*H30)/24)*K30</f>
        <v>0</v>
      </c>
      <c r="R30" s="421">
        <f>($H$4*H30)/18*L30</f>
        <v>0</v>
      </c>
      <c r="S30" s="421">
        <f>($H$4*H30)*M30/18</f>
        <v>81229.23</v>
      </c>
      <c r="T30" s="421">
        <f>($H$4*H30)/18*N30</f>
        <v>13538.205</v>
      </c>
      <c r="U30" s="421">
        <f t="shared" si="8"/>
        <v>94767.435</v>
      </c>
      <c r="V30" s="421">
        <v>50</v>
      </c>
      <c r="W30" s="421">
        <f t="shared" si="9"/>
        <v>47383.7175</v>
      </c>
      <c r="X30" s="422">
        <v>25</v>
      </c>
      <c r="Y30" s="421">
        <f t="shared" si="10"/>
        <v>11845.929375</v>
      </c>
      <c r="Z30" s="421">
        <f t="shared" si="11"/>
        <v>59229.646875</v>
      </c>
      <c r="AA30" s="401">
        <f t="shared" si="12"/>
        <v>5922.9646875</v>
      </c>
      <c r="AB30" s="362">
        <f t="shared" si="13"/>
        <v>65152.6115625</v>
      </c>
      <c r="AC30" s="421">
        <f t="shared" si="14"/>
        <v>65152.6115625</v>
      </c>
      <c r="AD30" s="421">
        <f t="shared" si="15"/>
        <v>781831.33875</v>
      </c>
      <c r="AE30" s="105">
        <f t="shared" si="16"/>
        <v>1.17</v>
      </c>
      <c r="AF30" s="430">
        <f>SUM(($H$4*H30)+(($H$4*H30*X30)/100))*AE30</f>
        <v>118797.748875</v>
      </c>
    </row>
    <row r="31" ht="41.25" customHeight="1" spans="1:32">
      <c r="A31" s="148">
        <v>4</v>
      </c>
      <c r="B31" s="164" t="s">
        <v>104</v>
      </c>
      <c r="C31" s="15" t="s">
        <v>105</v>
      </c>
      <c r="D31" s="15" t="s">
        <v>59</v>
      </c>
      <c r="E31" s="136" t="s">
        <v>82</v>
      </c>
      <c r="F31" s="18" t="s">
        <v>103</v>
      </c>
      <c r="G31" s="86">
        <v>4.4</v>
      </c>
      <c r="H31" s="15">
        <v>4.59</v>
      </c>
      <c r="I31" s="105">
        <f t="shared" si="0"/>
        <v>0.56</v>
      </c>
      <c r="J31" s="109"/>
      <c r="K31" s="48"/>
      <c r="L31" s="404"/>
      <c r="M31" s="399">
        <v>10</v>
      </c>
      <c r="N31" s="154"/>
      <c r="O31" s="400">
        <f t="shared" si="2"/>
        <v>10</v>
      </c>
      <c r="P31" s="401">
        <f>SUM(($H$4*H31)/24)*J31</f>
        <v>0</v>
      </c>
      <c r="Q31" s="421">
        <f>SUM(($H$4*H31)/24)*K31</f>
        <v>0</v>
      </c>
      <c r="R31" s="421">
        <f>($H$4*H31)/18*L31</f>
        <v>0</v>
      </c>
      <c r="S31" s="421">
        <f>($H$4*H31)*M31/18</f>
        <v>45127.35</v>
      </c>
      <c r="T31" s="421">
        <f>($H$4*H31)/18*N31</f>
        <v>0</v>
      </c>
      <c r="U31" s="421">
        <f t="shared" si="8"/>
        <v>45127.35</v>
      </c>
      <c r="V31" s="421">
        <v>50</v>
      </c>
      <c r="W31" s="421">
        <f t="shared" si="9"/>
        <v>22563.675</v>
      </c>
      <c r="X31" s="422">
        <v>25</v>
      </c>
      <c r="Y31" s="421">
        <f t="shared" si="10"/>
        <v>5640.91875</v>
      </c>
      <c r="Z31" s="421">
        <f t="shared" si="11"/>
        <v>28204.59375</v>
      </c>
      <c r="AA31" s="401">
        <f t="shared" si="12"/>
        <v>2820.459375</v>
      </c>
      <c r="AB31" s="362">
        <f t="shared" si="13"/>
        <v>31025.053125</v>
      </c>
      <c r="AC31" s="421">
        <f t="shared" si="14"/>
        <v>31025.053125</v>
      </c>
      <c r="AD31" s="421">
        <f t="shared" si="15"/>
        <v>372300.6375</v>
      </c>
      <c r="AE31" s="105">
        <f t="shared" si="16"/>
        <v>0.56</v>
      </c>
      <c r="AF31" s="430">
        <f>SUM(($H$4*H31)+(($H$4*H31*X31)/100))*AE31</f>
        <v>56860.461</v>
      </c>
    </row>
    <row r="32" ht="36.75" customHeight="1" spans="1:32">
      <c r="A32" s="15">
        <v>6</v>
      </c>
      <c r="B32" s="15" t="s">
        <v>106</v>
      </c>
      <c r="C32" s="15" t="s">
        <v>58</v>
      </c>
      <c r="D32" s="15" t="s">
        <v>59</v>
      </c>
      <c r="E32" s="136" t="s">
        <v>82</v>
      </c>
      <c r="F32" s="18">
        <v>2</v>
      </c>
      <c r="G32" s="86">
        <v>11.4</v>
      </c>
      <c r="H32" s="15">
        <v>4.81</v>
      </c>
      <c r="I32" s="105">
        <f t="shared" si="0"/>
        <v>1.28</v>
      </c>
      <c r="J32" s="109"/>
      <c r="K32" s="48"/>
      <c r="L32" s="404">
        <v>23</v>
      </c>
      <c r="M32" s="154"/>
      <c r="N32" s="154">
        <v>0</v>
      </c>
      <c r="O32" s="400">
        <f t="shared" si="2"/>
        <v>23</v>
      </c>
      <c r="P32" s="401">
        <f>SUM(($H$4*H32)/24)*J32</f>
        <v>0</v>
      </c>
      <c r="Q32" s="421">
        <f>SUM(($H$4*H32)/24)*K32</f>
        <v>0</v>
      </c>
      <c r="R32" s="421">
        <f>($H$4*H32)/18*L32</f>
        <v>108767.728333333</v>
      </c>
      <c r="S32" s="421">
        <f>($H$4*H32)*M32/18</f>
        <v>0</v>
      </c>
      <c r="T32" s="421">
        <f>($H$4*H32)/18*N32</f>
        <v>0</v>
      </c>
      <c r="U32" s="421">
        <f t="shared" si="8"/>
        <v>108767.728333333</v>
      </c>
      <c r="V32" s="421">
        <v>50</v>
      </c>
      <c r="W32" s="421">
        <f t="shared" si="9"/>
        <v>54383.8641666667</v>
      </c>
      <c r="X32" s="422">
        <v>25</v>
      </c>
      <c r="Y32" s="421">
        <f t="shared" si="10"/>
        <v>13595.9660416667</v>
      </c>
      <c r="Z32" s="421">
        <f t="shared" si="11"/>
        <v>67979.8302083333</v>
      </c>
      <c r="AA32" s="401">
        <f t="shared" si="12"/>
        <v>6797.98302083333</v>
      </c>
      <c r="AB32" s="362">
        <f t="shared" si="13"/>
        <v>74777.8132291667</v>
      </c>
      <c r="AC32" s="421">
        <f t="shared" si="14"/>
        <v>74777.8132291667</v>
      </c>
      <c r="AD32" s="421">
        <f t="shared" si="15"/>
        <v>897333.75875</v>
      </c>
      <c r="AE32" s="105">
        <f t="shared" si="16"/>
        <v>1.28</v>
      </c>
      <c r="AF32" s="430">
        <f>SUM(($H$4*H32)+(($H$4*H32*X32)/100))*AE32</f>
        <v>136196.112</v>
      </c>
    </row>
    <row r="33" ht="36.75" customHeight="1" spans="1:32">
      <c r="A33" s="82"/>
      <c r="B33" s="48" t="s">
        <v>107</v>
      </c>
      <c r="C33" s="105"/>
      <c r="D33" s="105"/>
      <c r="E33" s="360"/>
      <c r="F33" s="361"/>
      <c r="G33" s="362"/>
      <c r="H33" s="366"/>
      <c r="I33" s="105">
        <f>SUM(I29:I32)</f>
        <v>4.23</v>
      </c>
      <c r="J33" s="109"/>
      <c r="K33" s="48">
        <f t="shared" ref="K33:AF33" si="31">SUM(K29:K32)</f>
        <v>0</v>
      </c>
      <c r="L33" s="48">
        <f t="shared" si="31"/>
        <v>45</v>
      </c>
      <c r="M33" s="48">
        <f t="shared" si="31"/>
        <v>28</v>
      </c>
      <c r="N33" s="48">
        <f t="shared" si="31"/>
        <v>3</v>
      </c>
      <c r="O33" s="400">
        <f t="shared" si="2"/>
        <v>76</v>
      </c>
      <c r="P33" s="48">
        <f t="shared" si="31"/>
        <v>0</v>
      </c>
      <c r="Q33" s="48">
        <f t="shared" si="31"/>
        <v>0</v>
      </c>
      <c r="R33" s="48">
        <f t="shared" si="31"/>
        <v>213887.908333333</v>
      </c>
      <c r="S33" s="48">
        <f t="shared" si="31"/>
        <v>126356.58</v>
      </c>
      <c r="T33" s="48">
        <f t="shared" si="31"/>
        <v>13538.205</v>
      </c>
      <c r="U33" s="48">
        <f t="shared" si="31"/>
        <v>353782.693333333</v>
      </c>
      <c r="V33" s="48">
        <f t="shared" si="31"/>
        <v>200</v>
      </c>
      <c r="W33" s="48">
        <f t="shared" si="31"/>
        <v>176891.346666667</v>
      </c>
      <c r="X33" s="48">
        <f t="shared" si="31"/>
        <v>100</v>
      </c>
      <c r="Y33" s="48">
        <f t="shared" si="31"/>
        <v>44222.8366666667</v>
      </c>
      <c r="Z33" s="421">
        <f t="shared" si="11"/>
        <v>221114.183333333</v>
      </c>
      <c r="AA33" s="48">
        <f t="shared" si="31"/>
        <v>22111.4183333333</v>
      </c>
      <c r="AB33" s="48">
        <f t="shared" si="31"/>
        <v>243225.601666667</v>
      </c>
      <c r="AC33" s="48">
        <f t="shared" si="31"/>
        <v>243225.601666667</v>
      </c>
      <c r="AD33" s="48">
        <f t="shared" si="31"/>
        <v>2918707.22</v>
      </c>
      <c r="AE33" s="105">
        <f t="shared" si="16"/>
        <v>4.23</v>
      </c>
      <c r="AF33" s="48">
        <f t="shared" si="31"/>
        <v>443015.637375</v>
      </c>
    </row>
    <row r="34" ht="36.75" customHeight="1" spans="1:32">
      <c r="A34" s="82">
        <v>1</v>
      </c>
      <c r="B34" s="15" t="s">
        <v>101</v>
      </c>
      <c r="C34" s="16" t="s">
        <v>108</v>
      </c>
      <c r="D34" s="136" t="s">
        <v>59</v>
      </c>
      <c r="E34" s="17" t="s">
        <v>109</v>
      </c>
      <c r="F34" s="18" t="s">
        <v>110</v>
      </c>
      <c r="G34" s="19">
        <v>3.4</v>
      </c>
      <c r="H34" s="20">
        <v>4.23</v>
      </c>
      <c r="I34" s="105">
        <f t="shared" si="0"/>
        <v>0.28</v>
      </c>
      <c r="J34" s="109"/>
      <c r="K34" s="402"/>
      <c r="L34" s="404"/>
      <c r="M34" s="399">
        <v>3</v>
      </c>
      <c r="N34" s="154">
        <v>2</v>
      </c>
      <c r="O34" s="400">
        <f t="shared" si="2"/>
        <v>5</v>
      </c>
      <c r="P34" s="401">
        <f t="shared" ref="P34:P47" si="32">SUM(($H$4*H34)/24)*J34</f>
        <v>0</v>
      </c>
      <c r="Q34" s="421">
        <f t="shared" ref="Q34:Q47" si="33">SUM(($H$4*H34)/24)*K34</f>
        <v>0</v>
      </c>
      <c r="R34" s="421">
        <f t="shared" ref="R34:R43" si="34">($H$4*H34)/18*L34</f>
        <v>0</v>
      </c>
      <c r="S34" s="421">
        <f t="shared" ref="S34:S47" si="35">($H$4*H34)*M34/18</f>
        <v>12476.385</v>
      </c>
      <c r="T34" s="421">
        <f t="shared" ref="T34:T46" si="36">($H$4*H34)/18*N34</f>
        <v>8317.59</v>
      </c>
      <c r="U34" s="421">
        <f t="shared" si="8"/>
        <v>20793.975</v>
      </c>
      <c r="V34" s="421">
        <v>50</v>
      </c>
      <c r="W34" s="421">
        <f t="shared" si="9"/>
        <v>10396.9875</v>
      </c>
      <c r="X34" s="422">
        <v>25</v>
      </c>
      <c r="Y34" s="421">
        <f t="shared" si="10"/>
        <v>2599.246875</v>
      </c>
      <c r="Z34" s="421">
        <f t="shared" si="11"/>
        <v>12996.234375</v>
      </c>
      <c r="AA34" s="401">
        <f t="shared" si="12"/>
        <v>1299.6234375</v>
      </c>
      <c r="AB34" s="362">
        <f t="shared" si="13"/>
        <v>14295.8578125</v>
      </c>
      <c r="AC34" s="421">
        <f t="shared" si="14"/>
        <v>14295.8578125</v>
      </c>
      <c r="AD34" s="421">
        <f t="shared" si="15"/>
        <v>171550.29375</v>
      </c>
      <c r="AE34" s="105">
        <f t="shared" si="16"/>
        <v>0.28</v>
      </c>
      <c r="AF34" s="430">
        <f t="shared" ref="AF34:AF47" si="37">SUM(($H$4*H34)+(($H$4*H34*X34)/100))*AE34</f>
        <v>26200.4085</v>
      </c>
    </row>
    <row r="35" s="345" customFormat="1" ht="18.75" customHeight="1" spans="1:32">
      <c r="A35" s="82">
        <v>2</v>
      </c>
      <c r="B35" s="15" t="s">
        <v>96</v>
      </c>
      <c r="C35" s="16" t="s">
        <v>108</v>
      </c>
      <c r="D35" s="15" t="s">
        <v>59</v>
      </c>
      <c r="E35" s="17" t="s">
        <v>109</v>
      </c>
      <c r="F35" s="18" t="s">
        <v>110</v>
      </c>
      <c r="G35" s="19">
        <v>3.4</v>
      </c>
      <c r="H35" s="20">
        <v>4.23</v>
      </c>
      <c r="I35" s="105">
        <f t="shared" si="0"/>
        <v>0.33</v>
      </c>
      <c r="J35" s="109"/>
      <c r="K35" s="402"/>
      <c r="L35" s="404"/>
      <c r="M35" s="399">
        <v>4</v>
      </c>
      <c r="N35" s="154">
        <v>2</v>
      </c>
      <c r="O35" s="400">
        <f t="shared" si="2"/>
        <v>6</v>
      </c>
      <c r="P35" s="401">
        <f t="shared" si="32"/>
        <v>0</v>
      </c>
      <c r="Q35" s="421">
        <f t="shared" si="33"/>
        <v>0</v>
      </c>
      <c r="R35" s="421">
        <f t="shared" si="34"/>
        <v>0</v>
      </c>
      <c r="S35" s="421">
        <f t="shared" si="35"/>
        <v>16635.18</v>
      </c>
      <c r="T35" s="421">
        <f t="shared" si="36"/>
        <v>8317.59</v>
      </c>
      <c r="U35" s="421">
        <f t="shared" si="8"/>
        <v>24952.77</v>
      </c>
      <c r="V35" s="421">
        <v>50</v>
      </c>
      <c r="W35" s="421">
        <f t="shared" si="9"/>
        <v>12476.385</v>
      </c>
      <c r="X35" s="422">
        <v>25</v>
      </c>
      <c r="Y35" s="421">
        <f t="shared" si="10"/>
        <v>3119.09625</v>
      </c>
      <c r="Z35" s="421">
        <f t="shared" si="11"/>
        <v>15595.48125</v>
      </c>
      <c r="AA35" s="401">
        <f t="shared" si="12"/>
        <v>1559.548125</v>
      </c>
      <c r="AB35" s="362">
        <f t="shared" si="13"/>
        <v>17155.029375</v>
      </c>
      <c r="AC35" s="421">
        <f t="shared" si="14"/>
        <v>17155.029375</v>
      </c>
      <c r="AD35" s="421">
        <f t="shared" si="15"/>
        <v>205860.3525</v>
      </c>
      <c r="AE35" s="105">
        <f t="shared" si="16"/>
        <v>0.33</v>
      </c>
      <c r="AF35" s="430">
        <f t="shared" si="37"/>
        <v>30879.052875</v>
      </c>
    </row>
    <row r="36" s="345" customFormat="1" ht="18.75" customHeight="1" spans="1:32">
      <c r="A36" s="82">
        <v>3</v>
      </c>
      <c r="B36" s="15" t="s">
        <v>111</v>
      </c>
      <c r="C36" s="16" t="s">
        <v>112</v>
      </c>
      <c r="D36" s="15" t="s">
        <v>59</v>
      </c>
      <c r="E36" s="17" t="s">
        <v>82</v>
      </c>
      <c r="F36" s="18" t="s">
        <v>113</v>
      </c>
      <c r="G36" s="19">
        <v>3.4</v>
      </c>
      <c r="H36" s="367">
        <v>4.59</v>
      </c>
      <c r="I36" s="105">
        <f t="shared" si="0"/>
        <v>1.61</v>
      </c>
      <c r="J36" s="109"/>
      <c r="K36" s="402">
        <v>4</v>
      </c>
      <c r="L36" s="404">
        <v>8</v>
      </c>
      <c r="M36" s="399">
        <v>15</v>
      </c>
      <c r="N36" s="154">
        <v>3</v>
      </c>
      <c r="O36" s="400">
        <f t="shared" si="2"/>
        <v>26</v>
      </c>
      <c r="P36" s="401">
        <f t="shared" si="32"/>
        <v>0</v>
      </c>
      <c r="Q36" s="421">
        <f t="shared" si="33"/>
        <v>13538.205</v>
      </c>
      <c r="R36" s="421">
        <f t="shared" si="34"/>
        <v>36101.88</v>
      </c>
      <c r="S36" s="421">
        <f t="shared" si="35"/>
        <v>67691.025</v>
      </c>
      <c r="T36" s="421">
        <f t="shared" si="36"/>
        <v>13538.205</v>
      </c>
      <c r="U36" s="421">
        <f t="shared" si="8"/>
        <v>130869.315</v>
      </c>
      <c r="V36" s="421">
        <v>50</v>
      </c>
      <c r="W36" s="421">
        <f t="shared" si="9"/>
        <v>65434.6575</v>
      </c>
      <c r="X36" s="422">
        <v>25</v>
      </c>
      <c r="Y36" s="421">
        <f t="shared" si="10"/>
        <v>16358.664375</v>
      </c>
      <c r="Z36" s="421">
        <f t="shared" si="11"/>
        <v>81793.321875</v>
      </c>
      <c r="AA36" s="401">
        <f t="shared" si="12"/>
        <v>8179.3321875</v>
      </c>
      <c r="AB36" s="362">
        <f t="shared" si="13"/>
        <v>89972.6540625</v>
      </c>
      <c r="AC36" s="421">
        <f t="shared" si="14"/>
        <v>89972.6540625</v>
      </c>
      <c r="AD36" s="421">
        <f t="shared" si="15"/>
        <v>1079671.84875</v>
      </c>
      <c r="AE36" s="105">
        <f t="shared" si="16"/>
        <v>1.61</v>
      </c>
      <c r="AF36" s="430">
        <f t="shared" si="37"/>
        <v>163473.825375</v>
      </c>
    </row>
    <row r="37" s="345" customFormat="1" ht="36" customHeight="1" spans="1:32">
      <c r="A37" s="82">
        <v>5</v>
      </c>
      <c r="B37" s="15" t="s">
        <v>114</v>
      </c>
      <c r="C37" s="16" t="s">
        <v>115</v>
      </c>
      <c r="D37" s="15" t="s">
        <v>59</v>
      </c>
      <c r="E37" s="17" t="s">
        <v>109</v>
      </c>
      <c r="F37" s="18" t="s">
        <v>110</v>
      </c>
      <c r="G37" s="19">
        <v>3.4</v>
      </c>
      <c r="H37" s="20">
        <v>4.23</v>
      </c>
      <c r="I37" s="105">
        <f t="shared" si="0"/>
        <v>0.67</v>
      </c>
      <c r="J37" s="109"/>
      <c r="K37" s="402"/>
      <c r="L37" s="404"/>
      <c r="M37" s="407">
        <v>12</v>
      </c>
      <c r="N37" s="154"/>
      <c r="O37" s="400">
        <f t="shared" si="2"/>
        <v>12</v>
      </c>
      <c r="P37" s="401">
        <f t="shared" si="32"/>
        <v>0</v>
      </c>
      <c r="Q37" s="421">
        <f t="shared" si="33"/>
        <v>0</v>
      </c>
      <c r="R37" s="421">
        <f t="shared" si="34"/>
        <v>0</v>
      </c>
      <c r="S37" s="421">
        <f t="shared" si="35"/>
        <v>49905.54</v>
      </c>
      <c r="T37" s="421">
        <f t="shared" si="36"/>
        <v>0</v>
      </c>
      <c r="U37" s="421">
        <f t="shared" si="8"/>
        <v>49905.54</v>
      </c>
      <c r="V37" s="421">
        <v>50</v>
      </c>
      <c r="W37" s="421">
        <f t="shared" si="9"/>
        <v>24952.77</v>
      </c>
      <c r="X37" s="422">
        <v>25</v>
      </c>
      <c r="Y37" s="421">
        <f t="shared" si="10"/>
        <v>6238.1925</v>
      </c>
      <c r="Z37" s="421">
        <f t="shared" si="11"/>
        <v>31190.9625</v>
      </c>
      <c r="AA37" s="401">
        <f t="shared" si="12"/>
        <v>3119.09625</v>
      </c>
      <c r="AB37" s="362">
        <f t="shared" si="13"/>
        <v>34310.05875</v>
      </c>
      <c r="AC37" s="421">
        <f t="shared" si="14"/>
        <v>34310.05875</v>
      </c>
      <c r="AD37" s="421">
        <f t="shared" si="15"/>
        <v>411720.705</v>
      </c>
      <c r="AE37" s="105">
        <f t="shared" si="16"/>
        <v>0.67</v>
      </c>
      <c r="AF37" s="430">
        <f t="shared" si="37"/>
        <v>62693.834625</v>
      </c>
    </row>
    <row r="38" s="345" customFormat="1" ht="24" customHeight="1" spans="1:32">
      <c r="A38" s="82">
        <v>6</v>
      </c>
      <c r="B38" s="15" t="s">
        <v>116</v>
      </c>
      <c r="C38" s="16" t="s">
        <v>115</v>
      </c>
      <c r="D38" s="15" t="s">
        <v>59</v>
      </c>
      <c r="E38" s="17" t="s">
        <v>109</v>
      </c>
      <c r="F38" s="18" t="s">
        <v>110</v>
      </c>
      <c r="G38" s="19">
        <v>52.11</v>
      </c>
      <c r="H38" s="16">
        <v>4.73</v>
      </c>
      <c r="I38" s="105">
        <f t="shared" si="0"/>
        <v>0.5</v>
      </c>
      <c r="J38" s="109"/>
      <c r="K38" s="402"/>
      <c r="L38" s="404">
        <v>9</v>
      </c>
      <c r="M38" s="408"/>
      <c r="N38" s="154"/>
      <c r="O38" s="400">
        <f t="shared" si="2"/>
        <v>9</v>
      </c>
      <c r="P38" s="401">
        <f t="shared" si="32"/>
        <v>0</v>
      </c>
      <c r="Q38" s="421">
        <f t="shared" si="33"/>
        <v>0</v>
      </c>
      <c r="R38" s="421">
        <f t="shared" si="34"/>
        <v>41853.405</v>
      </c>
      <c r="S38" s="421">
        <f t="shared" si="35"/>
        <v>0</v>
      </c>
      <c r="T38" s="421">
        <f t="shared" si="36"/>
        <v>0</v>
      </c>
      <c r="U38" s="421">
        <f t="shared" si="8"/>
        <v>41853.405</v>
      </c>
      <c r="V38" s="421">
        <v>50</v>
      </c>
      <c r="W38" s="421">
        <f t="shared" si="9"/>
        <v>20926.7025</v>
      </c>
      <c r="X38" s="422">
        <v>25</v>
      </c>
      <c r="Y38" s="421">
        <f t="shared" si="10"/>
        <v>5231.675625</v>
      </c>
      <c r="Z38" s="421">
        <f t="shared" si="11"/>
        <v>26158.378125</v>
      </c>
      <c r="AA38" s="401">
        <f t="shared" si="12"/>
        <v>2615.8378125</v>
      </c>
      <c r="AB38" s="362">
        <f t="shared" si="13"/>
        <v>28774.2159375</v>
      </c>
      <c r="AC38" s="421">
        <f t="shared" si="14"/>
        <v>28774.2159375</v>
      </c>
      <c r="AD38" s="421">
        <f t="shared" si="15"/>
        <v>345290.59125</v>
      </c>
      <c r="AE38" s="105">
        <f t="shared" si="16"/>
        <v>0.5</v>
      </c>
      <c r="AF38" s="430">
        <f t="shared" si="37"/>
        <v>52316.75625</v>
      </c>
    </row>
    <row r="39" s="345" customFormat="1" ht="42" customHeight="1" spans="1:32">
      <c r="A39" s="368">
        <v>8</v>
      </c>
      <c r="B39" s="164" t="s">
        <v>117</v>
      </c>
      <c r="C39" s="164" t="s">
        <v>68</v>
      </c>
      <c r="D39" s="164" t="s">
        <v>59</v>
      </c>
      <c r="E39" s="369" t="s">
        <v>109</v>
      </c>
      <c r="F39" s="165" t="s">
        <v>110</v>
      </c>
      <c r="G39" s="370">
        <v>4.4</v>
      </c>
      <c r="H39" s="371">
        <v>4.23</v>
      </c>
      <c r="I39" s="105">
        <f t="shared" si="0"/>
        <v>1</v>
      </c>
      <c r="J39" s="109"/>
      <c r="K39" s="409"/>
      <c r="L39" s="404"/>
      <c r="M39" s="410">
        <v>15</v>
      </c>
      <c r="N39" s="411">
        <v>3</v>
      </c>
      <c r="O39" s="400">
        <f t="shared" si="2"/>
        <v>18</v>
      </c>
      <c r="P39" s="412">
        <f t="shared" si="32"/>
        <v>0</v>
      </c>
      <c r="Q39" s="423">
        <f t="shared" si="33"/>
        <v>0</v>
      </c>
      <c r="R39" s="423">
        <f t="shared" si="34"/>
        <v>0</v>
      </c>
      <c r="S39" s="423">
        <f t="shared" si="35"/>
        <v>62381.925</v>
      </c>
      <c r="T39" s="423">
        <f t="shared" si="36"/>
        <v>12476.385</v>
      </c>
      <c r="U39" s="421">
        <f t="shared" si="8"/>
        <v>74858.31</v>
      </c>
      <c r="V39" s="421">
        <v>50</v>
      </c>
      <c r="W39" s="421">
        <f t="shared" si="9"/>
        <v>37429.155</v>
      </c>
      <c r="X39" s="424">
        <v>25</v>
      </c>
      <c r="Y39" s="421">
        <f t="shared" si="10"/>
        <v>9357.28875</v>
      </c>
      <c r="Z39" s="421">
        <f t="shared" si="11"/>
        <v>46786.44375</v>
      </c>
      <c r="AA39" s="401">
        <f t="shared" si="12"/>
        <v>4678.644375</v>
      </c>
      <c r="AB39" s="362">
        <f t="shared" si="13"/>
        <v>51465.088125</v>
      </c>
      <c r="AC39" s="421">
        <f t="shared" si="14"/>
        <v>51465.088125</v>
      </c>
      <c r="AD39" s="421">
        <f t="shared" si="15"/>
        <v>617581.0575</v>
      </c>
      <c r="AE39" s="105">
        <f t="shared" si="16"/>
        <v>1</v>
      </c>
      <c r="AF39" s="430">
        <f t="shared" si="37"/>
        <v>93572.8875</v>
      </c>
    </row>
    <row r="40" s="345" customFormat="1" ht="33.75" customHeight="1" spans="1:32">
      <c r="A40" s="368"/>
      <c r="B40" s="15" t="s">
        <v>118</v>
      </c>
      <c r="C40" s="15" t="s">
        <v>119</v>
      </c>
      <c r="D40" s="15" t="s">
        <v>59</v>
      </c>
      <c r="E40" s="17" t="s">
        <v>82</v>
      </c>
      <c r="F40" s="18" t="s">
        <v>120</v>
      </c>
      <c r="G40" s="86">
        <v>3</v>
      </c>
      <c r="H40" s="15">
        <v>4.59</v>
      </c>
      <c r="I40" s="105">
        <f t="shared" si="0"/>
        <v>1.28</v>
      </c>
      <c r="J40" s="109"/>
      <c r="K40" s="402"/>
      <c r="L40" s="404"/>
      <c r="M40" s="399">
        <v>14</v>
      </c>
      <c r="N40" s="154">
        <v>9</v>
      </c>
      <c r="O40" s="400">
        <f t="shared" si="2"/>
        <v>23</v>
      </c>
      <c r="P40" s="401">
        <f t="shared" si="32"/>
        <v>0</v>
      </c>
      <c r="Q40" s="421">
        <f t="shared" si="33"/>
        <v>0</v>
      </c>
      <c r="R40" s="421">
        <f t="shared" si="34"/>
        <v>0</v>
      </c>
      <c r="S40" s="421">
        <f t="shared" si="35"/>
        <v>63178.29</v>
      </c>
      <c r="T40" s="421">
        <f t="shared" si="36"/>
        <v>40614.615</v>
      </c>
      <c r="U40" s="421">
        <f t="shared" si="8"/>
        <v>103792.905</v>
      </c>
      <c r="V40" s="421">
        <v>50</v>
      </c>
      <c r="W40" s="421">
        <f t="shared" si="9"/>
        <v>51896.4525</v>
      </c>
      <c r="X40" s="422">
        <v>25</v>
      </c>
      <c r="Y40" s="421">
        <f t="shared" si="10"/>
        <v>12974.113125</v>
      </c>
      <c r="Z40" s="421">
        <f t="shared" si="11"/>
        <v>64870.565625</v>
      </c>
      <c r="AA40" s="401">
        <f t="shared" si="12"/>
        <v>6487.0565625</v>
      </c>
      <c r="AB40" s="362">
        <f t="shared" si="13"/>
        <v>71357.6221875</v>
      </c>
      <c r="AC40" s="421">
        <f t="shared" si="14"/>
        <v>71357.6221875</v>
      </c>
      <c r="AD40" s="421">
        <f t="shared" si="15"/>
        <v>856291.46625</v>
      </c>
      <c r="AE40" s="105">
        <f t="shared" si="16"/>
        <v>1.28</v>
      </c>
      <c r="AF40" s="430">
        <f t="shared" si="37"/>
        <v>129966.768</v>
      </c>
    </row>
    <row r="41" s="345" customFormat="1" ht="38.25" customHeight="1" spans="1:32">
      <c r="A41" s="82">
        <v>9</v>
      </c>
      <c r="B41" s="164" t="s">
        <v>104</v>
      </c>
      <c r="C41" s="15" t="s">
        <v>121</v>
      </c>
      <c r="D41" s="15" t="s">
        <v>59</v>
      </c>
      <c r="E41" s="136" t="s">
        <v>109</v>
      </c>
      <c r="F41" s="18" t="s">
        <v>110</v>
      </c>
      <c r="G41" s="86">
        <v>4.4</v>
      </c>
      <c r="H41" s="15">
        <v>4.23</v>
      </c>
      <c r="I41" s="105">
        <f t="shared" si="0"/>
        <v>0.72</v>
      </c>
      <c r="J41" s="109"/>
      <c r="K41" s="48"/>
      <c r="L41" s="404"/>
      <c r="M41" s="154">
        <v>9</v>
      </c>
      <c r="N41" s="154">
        <v>4</v>
      </c>
      <c r="O41" s="400">
        <f t="shared" si="2"/>
        <v>13</v>
      </c>
      <c r="P41" s="401">
        <f t="shared" si="32"/>
        <v>0</v>
      </c>
      <c r="Q41" s="421">
        <f t="shared" si="33"/>
        <v>0</v>
      </c>
      <c r="R41" s="421">
        <f t="shared" si="34"/>
        <v>0</v>
      </c>
      <c r="S41" s="421">
        <f t="shared" si="35"/>
        <v>37429.155</v>
      </c>
      <c r="T41" s="421">
        <f t="shared" si="36"/>
        <v>16635.18</v>
      </c>
      <c r="U41" s="421">
        <f t="shared" si="8"/>
        <v>54064.335</v>
      </c>
      <c r="V41" s="421">
        <v>50</v>
      </c>
      <c r="W41" s="421">
        <f t="shared" si="9"/>
        <v>27032.1675</v>
      </c>
      <c r="X41" s="422">
        <v>25</v>
      </c>
      <c r="Y41" s="421">
        <f t="shared" si="10"/>
        <v>6758.041875</v>
      </c>
      <c r="Z41" s="421">
        <f t="shared" si="11"/>
        <v>33790.209375</v>
      </c>
      <c r="AA41" s="401">
        <f t="shared" si="12"/>
        <v>3379.0209375</v>
      </c>
      <c r="AB41" s="362">
        <f t="shared" si="13"/>
        <v>37169.2303125</v>
      </c>
      <c r="AC41" s="421">
        <f t="shared" si="14"/>
        <v>37169.2303125</v>
      </c>
      <c r="AD41" s="421">
        <f t="shared" si="15"/>
        <v>446030.76375</v>
      </c>
      <c r="AE41" s="105">
        <f t="shared" si="16"/>
        <v>0.72</v>
      </c>
      <c r="AF41" s="430">
        <f t="shared" si="37"/>
        <v>67372.479</v>
      </c>
    </row>
    <row r="42" s="345" customFormat="1" ht="33.75" customHeight="1" spans="1:32">
      <c r="A42" s="82">
        <v>10</v>
      </c>
      <c r="B42" s="15" t="s">
        <v>122</v>
      </c>
      <c r="C42" s="16" t="s">
        <v>123</v>
      </c>
      <c r="D42" s="15" t="s">
        <v>59</v>
      </c>
      <c r="E42" s="17" t="s">
        <v>82</v>
      </c>
      <c r="F42" s="18">
        <v>2</v>
      </c>
      <c r="G42" s="19">
        <v>8</v>
      </c>
      <c r="H42" s="15">
        <v>4.74</v>
      </c>
      <c r="I42" s="105">
        <f t="shared" si="0"/>
        <v>0.5</v>
      </c>
      <c r="J42" s="109"/>
      <c r="K42" s="48"/>
      <c r="L42" s="404">
        <v>3</v>
      </c>
      <c r="M42" s="154">
        <v>5</v>
      </c>
      <c r="N42" s="154">
        <v>1</v>
      </c>
      <c r="O42" s="400">
        <f t="shared" si="2"/>
        <v>9</v>
      </c>
      <c r="P42" s="401">
        <f t="shared" si="32"/>
        <v>0</v>
      </c>
      <c r="Q42" s="421">
        <f t="shared" si="33"/>
        <v>0</v>
      </c>
      <c r="R42" s="421">
        <f t="shared" si="34"/>
        <v>13980.63</v>
      </c>
      <c r="S42" s="421">
        <f t="shared" si="35"/>
        <v>23301.05</v>
      </c>
      <c r="T42" s="421">
        <f t="shared" si="36"/>
        <v>4660.21</v>
      </c>
      <c r="U42" s="421">
        <f t="shared" si="8"/>
        <v>41941.89</v>
      </c>
      <c r="V42" s="421">
        <v>50</v>
      </c>
      <c r="W42" s="421">
        <f t="shared" si="9"/>
        <v>20970.945</v>
      </c>
      <c r="X42" s="422">
        <v>25</v>
      </c>
      <c r="Y42" s="421">
        <f t="shared" si="10"/>
        <v>5242.73625</v>
      </c>
      <c r="Z42" s="421">
        <f t="shared" si="11"/>
        <v>26213.68125</v>
      </c>
      <c r="AA42" s="401">
        <f t="shared" si="12"/>
        <v>2621.368125</v>
      </c>
      <c r="AB42" s="362">
        <f t="shared" si="13"/>
        <v>28835.049375</v>
      </c>
      <c r="AC42" s="421">
        <f t="shared" si="14"/>
        <v>28835.049375</v>
      </c>
      <c r="AD42" s="421">
        <f t="shared" si="15"/>
        <v>346020.5925</v>
      </c>
      <c r="AE42" s="105">
        <f t="shared" si="16"/>
        <v>0.5</v>
      </c>
      <c r="AF42" s="430">
        <f t="shared" si="37"/>
        <v>52427.3625</v>
      </c>
    </row>
    <row r="43" s="345" customFormat="1" ht="33.75" customHeight="1" spans="1:32">
      <c r="A43" s="82"/>
      <c r="B43" s="15" t="s">
        <v>124</v>
      </c>
      <c r="C43" s="15" t="s">
        <v>58</v>
      </c>
      <c r="D43" s="15" t="s">
        <v>59</v>
      </c>
      <c r="E43" s="17" t="s">
        <v>82</v>
      </c>
      <c r="F43" s="18" t="s">
        <v>113</v>
      </c>
      <c r="G43" s="86">
        <v>8.3</v>
      </c>
      <c r="H43" s="16">
        <v>4.74</v>
      </c>
      <c r="I43" s="105">
        <f t="shared" si="0"/>
        <v>0.83</v>
      </c>
      <c r="J43" s="109"/>
      <c r="K43" s="402"/>
      <c r="L43" s="404">
        <v>15</v>
      </c>
      <c r="M43" s="154"/>
      <c r="N43" s="154"/>
      <c r="O43" s="400">
        <f t="shared" si="2"/>
        <v>15</v>
      </c>
      <c r="P43" s="401">
        <f t="shared" si="32"/>
        <v>0</v>
      </c>
      <c r="Q43" s="421">
        <f t="shared" si="33"/>
        <v>0</v>
      </c>
      <c r="R43" s="421">
        <f t="shared" si="34"/>
        <v>69903.15</v>
      </c>
      <c r="S43" s="421">
        <f t="shared" si="35"/>
        <v>0</v>
      </c>
      <c r="T43" s="421">
        <f t="shared" si="36"/>
        <v>0</v>
      </c>
      <c r="U43" s="421">
        <f t="shared" si="8"/>
        <v>69903.15</v>
      </c>
      <c r="V43" s="421">
        <v>50</v>
      </c>
      <c r="W43" s="421">
        <f t="shared" si="9"/>
        <v>34951.575</v>
      </c>
      <c r="X43" s="422">
        <v>25</v>
      </c>
      <c r="Y43" s="421">
        <f t="shared" si="10"/>
        <v>8737.89375</v>
      </c>
      <c r="Z43" s="421">
        <f t="shared" si="11"/>
        <v>43689.46875</v>
      </c>
      <c r="AA43" s="401">
        <f t="shared" si="12"/>
        <v>4368.946875</v>
      </c>
      <c r="AB43" s="362">
        <f t="shared" si="13"/>
        <v>48058.415625</v>
      </c>
      <c r="AC43" s="421">
        <f t="shared" si="14"/>
        <v>48058.415625</v>
      </c>
      <c r="AD43" s="421">
        <f t="shared" si="15"/>
        <v>576700.9875</v>
      </c>
      <c r="AE43" s="105">
        <f t="shared" si="16"/>
        <v>0.83</v>
      </c>
      <c r="AF43" s="430">
        <f t="shared" si="37"/>
        <v>87029.42175</v>
      </c>
    </row>
    <row r="44" s="345" customFormat="1" ht="33.75" customHeight="1" spans="1:32">
      <c r="A44" s="82"/>
      <c r="B44" s="15" t="s">
        <v>124</v>
      </c>
      <c r="C44" s="15" t="s">
        <v>123</v>
      </c>
      <c r="D44" s="15" t="s">
        <v>59</v>
      </c>
      <c r="E44" s="17" t="s">
        <v>82</v>
      </c>
      <c r="F44" s="18" t="s">
        <v>113</v>
      </c>
      <c r="G44" s="86">
        <v>8.3</v>
      </c>
      <c r="H44" s="16">
        <v>4.74</v>
      </c>
      <c r="I44" s="105">
        <f t="shared" si="0"/>
        <v>0.56</v>
      </c>
      <c r="J44" s="109"/>
      <c r="K44" s="402"/>
      <c r="L44" s="404">
        <v>4</v>
      </c>
      <c r="M44" s="154">
        <v>5</v>
      </c>
      <c r="N44" s="154">
        <v>1</v>
      </c>
      <c r="O44" s="400">
        <f t="shared" si="2"/>
        <v>10</v>
      </c>
      <c r="P44" s="401">
        <f t="shared" si="32"/>
        <v>0</v>
      </c>
      <c r="Q44" s="421">
        <f t="shared" si="33"/>
        <v>0</v>
      </c>
      <c r="R44" s="421">
        <f t="shared" ref="R44:R46" si="38">($H$4*H44)/18*L44</f>
        <v>18640.84</v>
      </c>
      <c r="S44" s="421">
        <f t="shared" si="35"/>
        <v>23301.05</v>
      </c>
      <c r="T44" s="421">
        <f t="shared" si="36"/>
        <v>4660.21</v>
      </c>
      <c r="U44" s="421">
        <f t="shared" si="8"/>
        <v>46602.1</v>
      </c>
      <c r="V44" s="421">
        <v>50</v>
      </c>
      <c r="W44" s="421">
        <f t="shared" si="9"/>
        <v>23301.05</v>
      </c>
      <c r="X44" s="422">
        <v>25</v>
      </c>
      <c r="Y44" s="421">
        <f t="shared" si="10"/>
        <v>5825.2625</v>
      </c>
      <c r="Z44" s="421">
        <f t="shared" si="11"/>
        <v>29126.3125</v>
      </c>
      <c r="AA44" s="401">
        <f t="shared" si="12"/>
        <v>2912.63125</v>
      </c>
      <c r="AB44" s="362">
        <f t="shared" si="13"/>
        <v>32038.94375</v>
      </c>
      <c r="AC44" s="421">
        <f t="shared" si="14"/>
        <v>32038.94375</v>
      </c>
      <c r="AD44" s="421">
        <f t="shared" si="15"/>
        <v>384467.325</v>
      </c>
      <c r="AE44" s="105">
        <f t="shared" si="16"/>
        <v>0.56</v>
      </c>
      <c r="AF44" s="430">
        <f t="shared" si="37"/>
        <v>58718.646</v>
      </c>
    </row>
    <row r="45" s="345" customFormat="1" ht="33.75" customHeight="1" spans="1:32">
      <c r="A45" s="82"/>
      <c r="B45" s="15" t="s">
        <v>125</v>
      </c>
      <c r="C45" s="15" t="s">
        <v>126</v>
      </c>
      <c r="D45" s="15" t="s">
        <v>59</v>
      </c>
      <c r="E45" s="17" t="s">
        <v>109</v>
      </c>
      <c r="F45" s="18" t="s">
        <v>127</v>
      </c>
      <c r="G45" s="86">
        <v>45.4</v>
      </c>
      <c r="H45" s="16">
        <v>4.73</v>
      </c>
      <c r="I45" s="105">
        <f t="shared" si="0"/>
        <v>1</v>
      </c>
      <c r="J45" s="109"/>
      <c r="K45" s="402"/>
      <c r="L45" s="404"/>
      <c r="M45" s="154">
        <v>18</v>
      </c>
      <c r="N45" s="154"/>
      <c r="O45" s="400">
        <f t="shared" si="2"/>
        <v>18</v>
      </c>
      <c r="P45" s="401">
        <f t="shared" si="32"/>
        <v>0</v>
      </c>
      <c r="Q45" s="421">
        <f t="shared" si="33"/>
        <v>0</v>
      </c>
      <c r="R45" s="421">
        <f t="shared" si="38"/>
        <v>0</v>
      </c>
      <c r="S45" s="421">
        <f t="shared" si="35"/>
        <v>83706.81</v>
      </c>
      <c r="T45" s="421">
        <f t="shared" si="36"/>
        <v>0</v>
      </c>
      <c r="U45" s="421">
        <f t="shared" si="8"/>
        <v>83706.81</v>
      </c>
      <c r="V45" s="421">
        <v>50</v>
      </c>
      <c r="W45" s="421">
        <f t="shared" si="9"/>
        <v>41853.405</v>
      </c>
      <c r="X45" s="422">
        <v>25</v>
      </c>
      <c r="Y45" s="421">
        <f t="shared" si="10"/>
        <v>10463.35125</v>
      </c>
      <c r="Z45" s="421">
        <f t="shared" si="11"/>
        <v>52316.75625</v>
      </c>
      <c r="AA45" s="401">
        <f t="shared" si="12"/>
        <v>5231.675625</v>
      </c>
      <c r="AB45" s="362">
        <f t="shared" si="13"/>
        <v>57548.431875</v>
      </c>
      <c r="AC45" s="421">
        <f t="shared" si="14"/>
        <v>57548.431875</v>
      </c>
      <c r="AD45" s="421">
        <f t="shared" si="15"/>
        <v>690581.1825</v>
      </c>
      <c r="AE45" s="105">
        <f t="shared" si="16"/>
        <v>1</v>
      </c>
      <c r="AF45" s="430">
        <f t="shared" si="37"/>
        <v>104633.5125</v>
      </c>
    </row>
    <row r="46" s="345" customFormat="1" ht="33.75" customHeight="1" spans="1:32">
      <c r="A46" s="82"/>
      <c r="B46" s="15" t="s">
        <v>128</v>
      </c>
      <c r="C46" s="372" t="s">
        <v>129</v>
      </c>
      <c r="D46" s="15" t="s">
        <v>59</v>
      </c>
      <c r="E46" s="17" t="s">
        <v>109</v>
      </c>
      <c r="F46" s="18" t="s">
        <v>127</v>
      </c>
      <c r="G46" s="345" t="s">
        <v>130</v>
      </c>
      <c r="H46" s="20">
        <v>4.1</v>
      </c>
      <c r="I46" s="105">
        <f t="shared" si="0"/>
        <v>1.61</v>
      </c>
      <c r="J46" s="109"/>
      <c r="K46" s="402"/>
      <c r="L46" s="404">
        <v>7</v>
      </c>
      <c r="M46" s="154">
        <v>22</v>
      </c>
      <c r="N46" s="154">
        <v>0</v>
      </c>
      <c r="O46" s="400">
        <f t="shared" si="2"/>
        <v>29</v>
      </c>
      <c r="P46" s="401">
        <f t="shared" si="32"/>
        <v>0</v>
      </c>
      <c r="Q46" s="421">
        <f t="shared" si="33"/>
        <v>0</v>
      </c>
      <c r="R46" s="421">
        <f t="shared" si="38"/>
        <v>28216.8833333333</v>
      </c>
      <c r="S46" s="421">
        <f t="shared" si="35"/>
        <v>88681.6333333333</v>
      </c>
      <c r="T46" s="421">
        <f t="shared" si="36"/>
        <v>0</v>
      </c>
      <c r="U46" s="421">
        <f t="shared" si="8"/>
        <v>116898.516666667</v>
      </c>
      <c r="V46" s="421">
        <v>50</v>
      </c>
      <c r="W46" s="421">
        <f t="shared" si="9"/>
        <v>58449.2583333333</v>
      </c>
      <c r="X46" s="422">
        <v>25</v>
      </c>
      <c r="Y46" s="421">
        <f t="shared" si="10"/>
        <v>14612.3145833333</v>
      </c>
      <c r="Z46" s="421">
        <f t="shared" si="11"/>
        <v>73061.5729166667</v>
      </c>
      <c r="AA46" s="401">
        <f t="shared" si="12"/>
        <v>7306.15729166667</v>
      </c>
      <c r="AB46" s="362">
        <f t="shared" si="13"/>
        <v>80367.7302083333</v>
      </c>
      <c r="AC46" s="421">
        <f t="shared" si="14"/>
        <v>80367.7302083333</v>
      </c>
      <c r="AD46" s="421">
        <f t="shared" si="15"/>
        <v>964412.7625</v>
      </c>
      <c r="AE46" s="105">
        <f t="shared" si="16"/>
        <v>1.61</v>
      </c>
      <c r="AF46" s="430">
        <f t="shared" si="37"/>
        <v>146022.37125</v>
      </c>
    </row>
    <row r="47" s="347" customFormat="1" ht="33.75" customHeight="1" spans="1:32">
      <c r="A47" s="82"/>
      <c r="B47" s="15" t="s">
        <v>131</v>
      </c>
      <c r="C47" s="372" t="s">
        <v>68</v>
      </c>
      <c r="D47" s="15" t="s">
        <v>59</v>
      </c>
      <c r="E47" s="17" t="s">
        <v>109</v>
      </c>
      <c r="F47" s="18" t="s">
        <v>127</v>
      </c>
      <c r="G47" s="345">
        <v>4.4</v>
      </c>
      <c r="H47" s="20">
        <v>4.23</v>
      </c>
      <c r="I47" s="105">
        <f t="shared" si="0"/>
        <v>0.83</v>
      </c>
      <c r="J47" s="109"/>
      <c r="K47" s="402"/>
      <c r="L47" s="404"/>
      <c r="M47" s="154">
        <v>15</v>
      </c>
      <c r="N47" s="154"/>
      <c r="O47" s="400">
        <f t="shared" si="2"/>
        <v>15</v>
      </c>
      <c r="P47" s="401">
        <f t="shared" si="32"/>
        <v>0</v>
      </c>
      <c r="Q47" s="421">
        <f t="shared" si="33"/>
        <v>0</v>
      </c>
      <c r="R47" s="421"/>
      <c r="S47" s="421">
        <f t="shared" si="35"/>
        <v>62381.925</v>
      </c>
      <c r="T47" s="421"/>
      <c r="U47" s="421">
        <f t="shared" si="8"/>
        <v>62381.925</v>
      </c>
      <c r="V47" s="421">
        <v>50</v>
      </c>
      <c r="W47" s="421">
        <f t="shared" si="9"/>
        <v>31190.9625</v>
      </c>
      <c r="X47" s="422">
        <v>25</v>
      </c>
      <c r="Y47" s="421">
        <f t="shared" si="10"/>
        <v>7797.740625</v>
      </c>
      <c r="Z47" s="421">
        <f t="shared" si="11"/>
        <v>38988.703125</v>
      </c>
      <c r="AA47" s="401">
        <f t="shared" si="12"/>
        <v>3898.8703125</v>
      </c>
      <c r="AB47" s="362">
        <f t="shared" si="13"/>
        <v>42887.5734375</v>
      </c>
      <c r="AC47" s="421">
        <f t="shared" si="14"/>
        <v>42887.5734375</v>
      </c>
      <c r="AD47" s="421">
        <f t="shared" si="15"/>
        <v>514650.88125</v>
      </c>
      <c r="AE47" s="105">
        <f t="shared" si="16"/>
        <v>0.83</v>
      </c>
      <c r="AF47" s="430">
        <f t="shared" si="37"/>
        <v>77665.496625</v>
      </c>
    </row>
    <row r="48" s="347" customFormat="1" ht="33.75" customHeight="1" spans="1:32">
      <c r="A48" s="82">
        <v>12</v>
      </c>
      <c r="B48" s="48" t="s">
        <v>132</v>
      </c>
      <c r="C48" s="373"/>
      <c r="D48" s="373"/>
      <c r="E48" s="373"/>
      <c r="F48" s="374"/>
      <c r="G48" s="373"/>
      <c r="H48" s="373"/>
      <c r="I48" s="48">
        <f>SUM(I34:I47)</f>
        <v>11.72</v>
      </c>
      <c r="J48" s="48">
        <f t="shared" ref="J48:AF48" si="39">SUM(J34:J47)</f>
        <v>0</v>
      </c>
      <c r="K48" s="48">
        <f t="shared" si="39"/>
        <v>4</v>
      </c>
      <c r="L48" s="48">
        <f t="shared" si="39"/>
        <v>46</v>
      </c>
      <c r="M48" s="48">
        <f t="shared" si="39"/>
        <v>137</v>
      </c>
      <c r="N48" s="48">
        <f t="shared" si="39"/>
        <v>25</v>
      </c>
      <c r="O48" s="48">
        <f t="shared" si="39"/>
        <v>208</v>
      </c>
      <c r="P48" s="48">
        <f t="shared" si="39"/>
        <v>0</v>
      </c>
      <c r="Q48" s="48">
        <f t="shared" si="39"/>
        <v>13538.205</v>
      </c>
      <c r="R48" s="48">
        <f t="shared" si="39"/>
        <v>208696.788333333</v>
      </c>
      <c r="S48" s="48">
        <f t="shared" si="39"/>
        <v>591069.968333333</v>
      </c>
      <c r="T48" s="48">
        <f t="shared" si="39"/>
        <v>109219.985</v>
      </c>
      <c r="U48" s="48">
        <f t="shared" si="39"/>
        <v>922524.946666667</v>
      </c>
      <c r="V48" s="48">
        <f t="shared" si="39"/>
        <v>700</v>
      </c>
      <c r="W48" s="48">
        <f t="shared" si="39"/>
        <v>461262.473333333</v>
      </c>
      <c r="X48" s="48">
        <f t="shared" si="39"/>
        <v>350</v>
      </c>
      <c r="Y48" s="48">
        <f t="shared" si="39"/>
        <v>115315.618333333</v>
      </c>
      <c r="Z48" s="421">
        <f t="shared" si="11"/>
        <v>576578.091666667</v>
      </c>
      <c r="AA48" s="48">
        <f t="shared" si="39"/>
        <v>57657.8091666667</v>
      </c>
      <c r="AB48" s="48">
        <f t="shared" si="39"/>
        <v>634235.900833333</v>
      </c>
      <c r="AC48" s="48">
        <f t="shared" si="39"/>
        <v>634235.900833333</v>
      </c>
      <c r="AD48" s="48">
        <f t="shared" si="39"/>
        <v>7610830.81</v>
      </c>
      <c r="AE48" s="48">
        <f t="shared" si="39"/>
        <v>11.72</v>
      </c>
      <c r="AF48" s="48">
        <f t="shared" si="39"/>
        <v>1152972.82275</v>
      </c>
    </row>
    <row r="49" s="347" customFormat="1" ht="33.75" customHeight="1" spans="1:32">
      <c r="A49" s="375"/>
      <c r="B49" s="15" t="s">
        <v>133</v>
      </c>
      <c r="C49" s="15" t="s">
        <v>134</v>
      </c>
      <c r="D49" s="15" t="s">
        <v>135</v>
      </c>
      <c r="E49" s="85" t="s">
        <v>136</v>
      </c>
      <c r="F49" s="18">
        <v>1</v>
      </c>
      <c r="G49" s="143">
        <v>31.2</v>
      </c>
      <c r="H49" s="20">
        <v>4.39</v>
      </c>
      <c r="I49" s="105">
        <f t="shared" si="0"/>
        <v>0.92</v>
      </c>
      <c r="J49" s="146"/>
      <c r="K49" s="409">
        <v>22</v>
      </c>
      <c r="L49" s="373"/>
      <c r="M49" s="373"/>
      <c r="N49" s="373"/>
      <c r="O49" s="400">
        <v>22</v>
      </c>
      <c r="P49" s="401">
        <f>SUM(($H$4*H49)/24)*J49</f>
        <v>0</v>
      </c>
      <c r="Q49" s="421">
        <f>SUM(($H$4*H49)/24)*K49</f>
        <v>71215.6775</v>
      </c>
      <c r="R49" s="421">
        <f>($H$4*H49)/18*L49</f>
        <v>0</v>
      </c>
      <c r="S49" s="421">
        <f>($H$4*H49)*M49/18</f>
        <v>0</v>
      </c>
      <c r="T49" s="421">
        <f>($H$4*H49)/18*N49</f>
        <v>0</v>
      </c>
      <c r="U49" s="421">
        <f>SUM(P49:T49)</f>
        <v>71215.6775</v>
      </c>
      <c r="V49" s="421">
        <v>50</v>
      </c>
      <c r="W49" s="421">
        <f t="shared" si="9"/>
        <v>35607.83875</v>
      </c>
      <c r="X49" s="422">
        <v>25</v>
      </c>
      <c r="Y49" s="421">
        <f t="shared" si="10"/>
        <v>8901.9596875</v>
      </c>
      <c r="Z49" s="421">
        <f t="shared" si="11"/>
        <v>44509.7984375</v>
      </c>
      <c r="AA49" s="401">
        <f t="shared" si="12"/>
        <v>4450.97984375</v>
      </c>
      <c r="AB49" s="362">
        <f t="shared" si="13"/>
        <v>48960.77828125</v>
      </c>
      <c r="AC49" s="421">
        <f t="shared" si="14"/>
        <v>48960.77828125</v>
      </c>
      <c r="AD49" s="421">
        <f t="shared" si="15"/>
        <v>587529.339375</v>
      </c>
      <c r="AE49" s="105">
        <f t="shared" si="16"/>
        <v>0.92</v>
      </c>
      <c r="AF49" s="430">
        <f>SUM(($H$4*H49)+(($H$4*H49*X49)/100))*AE49</f>
        <v>89343.3045</v>
      </c>
    </row>
    <row r="50" s="347" customFormat="1" ht="33.75" customHeight="1" spans="1:32">
      <c r="A50" s="376"/>
      <c r="B50" s="15" t="s">
        <v>137</v>
      </c>
      <c r="C50" s="15" t="s">
        <v>58</v>
      </c>
      <c r="D50" s="15" t="s">
        <v>135</v>
      </c>
      <c r="E50" s="85" t="s">
        <v>136</v>
      </c>
      <c r="F50" s="18" t="s">
        <v>127</v>
      </c>
      <c r="G50" s="143">
        <v>35.2</v>
      </c>
      <c r="H50" s="20">
        <v>4.39</v>
      </c>
      <c r="I50" s="105">
        <f t="shared" si="0"/>
        <v>1</v>
      </c>
      <c r="J50" s="146"/>
      <c r="K50" s="409"/>
      <c r="L50" s="413">
        <v>18</v>
      </c>
      <c r="M50" s="373"/>
      <c r="N50" s="373"/>
      <c r="O50" s="400">
        <f>SUM(K50:N50)</f>
        <v>18</v>
      </c>
      <c r="P50" s="401">
        <v>0</v>
      </c>
      <c r="Q50" s="421">
        <f t="shared" ref="Q50:Q52" si="40">SUM(($H$4*H50)/24)*K50</f>
        <v>0</v>
      </c>
      <c r="R50" s="421">
        <f t="shared" ref="R50:R52" si="41">($H$4*H50)/18*L50</f>
        <v>77689.83</v>
      </c>
      <c r="S50" s="421">
        <f t="shared" ref="S50:S52" si="42">($H$4*H50)*M50/18</f>
        <v>0</v>
      </c>
      <c r="T50" s="421">
        <f t="shared" ref="T50:T52" si="43">($H$4*H50)/18*N50</f>
        <v>0</v>
      </c>
      <c r="U50" s="421">
        <f t="shared" ref="U50:U52" si="44">SUM(P50:T50)</f>
        <v>77689.83</v>
      </c>
      <c r="V50" s="421">
        <v>50</v>
      </c>
      <c r="W50" s="421">
        <f t="shared" si="9"/>
        <v>38844.915</v>
      </c>
      <c r="X50" s="422">
        <v>25</v>
      </c>
      <c r="Y50" s="421">
        <f t="shared" si="10"/>
        <v>9711.22875</v>
      </c>
      <c r="Z50" s="421">
        <f t="shared" si="11"/>
        <v>48556.14375</v>
      </c>
      <c r="AA50" s="401">
        <f t="shared" si="12"/>
        <v>4855.614375</v>
      </c>
      <c r="AB50" s="362">
        <f t="shared" si="13"/>
        <v>53411.758125</v>
      </c>
      <c r="AC50" s="421">
        <f t="shared" si="14"/>
        <v>53411.758125</v>
      </c>
      <c r="AD50" s="421">
        <f t="shared" si="15"/>
        <v>640941.0975</v>
      </c>
      <c r="AE50" s="105">
        <f t="shared" si="16"/>
        <v>1</v>
      </c>
      <c r="AF50" s="430">
        <f t="shared" ref="AF50:AF52" si="45">SUM(($H$4*H50)+(($H$4*H50*X50)/100))*AE50</f>
        <v>97112.2875</v>
      </c>
    </row>
    <row r="51" s="345" customFormat="1" ht="33.75" customHeight="1" spans="1:32">
      <c r="A51" s="376"/>
      <c r="B51" s="15" t="s">
        <v>138</v>
      </c>
      <c r="C51" s="15" t="s">
        <v>139</v>
      </c>
      <c r="D51" s="15" t="s">
        <v>135</v>
      </c>
      <c r="E51" s="85" t="s">
        <v>136</v>
      </c>
      <c r="F51" s="18" t="s">
        <v>127</v>
      </c>
      <c r="G51" s="86" t="s">
        <v>130</v>
      </c>
      <c r="H51" s="377">
        <v>3.32</v>
      </c>
      <c r="I51" s="105">
        <f t="shared" si="0"/>
        <v>1.22</v>
      </c>
      <c r="J51" s="146"/>
      <c r="K51" s="409"/>
      <c r="L51" s="413">
        <v>4</v>
      </c>
      <c r="M51" s="373">
        <v>18</v>
      </c>
      <c r="N51" s="373"/>
      <c r="O51" s="400">
        <f>SUM(K51:N51)</f>
        <v>22</v>
      </c>
      <c r="P51" s="401">
        <v>0</v>
      </c>
      <c r="Q51" s="421">
        <f t="shared" si="40"/>
        <v>0</v>
      </c>
      <c r="R51" s="421">
        <f t="shared" si="41"/>
        <v>13056.4533333333</v>
      </c>
      <c r="S51" s="421">
        <f t="shared" si="42"/>
        <v>58754.04</v>
      </c>
      <c r="T51" s="421">
        <f t="shared" si="43"/>
        <v>0</v>
      </c>
      <c r="U51" s="421">
        <f t="shared" si="44"/>
        <v>71810.4933333333</v>
      </c>
      <c r="V51" s="421">
        <v>50</v>
      </c>
      <c r="W51" s="421">
        <f t="shared" si="9"/>
        <v>35905.2466666667</v>
      </c>
      <c r="X51" s="422">
        <v>25</v>
      </c>
      <c r="Y51" s="421">
        <f t="shared" si="10"/>
        <v>8976.31166666667</v>
      </c>
      <c r="Z51" s="421">
        <f t="shared" si="11"/>
        <v>44881.5583333333</v>
      </c>
      <c r="AA51" s="401">
        <f t="shared" si="12"/>
        <v>4488.15583333333</v>
      </c>
      <c r="AB51" s="362">
        <f t="shared" si="13"/>
        <v>49369.7141666667</v>
      </c>
      <c r="AC51" s="421">
        <f t="shared" si="14"/>
        <v>49369.7141666667</v>
      </c>
      <c r="AD51" s="421">
        <f t="shared" si="15"/>
        <v>592436.57</v>
      </c>
      <c r="AE51" s="105">
        <f t="shared" si="16"/>
        <v>1.22</v>
      </c>
      <c r="AF51" s="430">
        <f t="shared" si="45"/>
        <v>89599.911</v>
      </c>
    </row>
    <row r="52" s="345" customFormat="1" ht="34.5" customHeight="1" spans="1:32">
      <c r="A52" s="82">
        <v>1</v>
      </c>
      <c r="B52" s="15" t="s">
        <v>140</v>
      </c>
      <c r="C52" s="15" t="s">
        <v>134</v>
      </c>
      <c r="D52" s="15" t="s">
        <v>135</v>
      </c>
      <c r="E52" s="17" t="s">
        <v>136</v>
      </c>
      <c r="F52" s="18">
        <v>1</v>
      </c>
      <c r="G52" s="86">
        <v>32</v>
      </c>
      <c r="H52" s="20">
        <v>4.39</v>
      </c>
      <c r="I52" s="105">
        <f t="shared" si="0"/>
        <v>0.92</v>
      </c>
      <c r="J52" s="180"/>
      <c r="K52" s="409">
        <v>22</v>
      </c>
      <c r="L52" s="373"/>
      <c r="M52" s="373"/>
      <c r="N52" s="373"/>
      <c r="O52" s="400">
        <v>22</v>
      </c>
      <c r="P52" s="401">
        <f>SUM(($H$4*H52)/24)*J52</f>
        <v>0</v>
      </c>
      <c r="Q52" s="421">
        <f t="shared" si="40"/>
        <v>71215.6775</v>
      </c>
      <c r="R52" s="421">
        <f t="shared" si="41"/>
        <v>0</v>
      </c>
      <c r="S52" s="421">
        <f t="shared" si="42"/>
        <v>0</v>
      </c>
      <c r="T52" s="421">
        <f t="shared" si="43"/>
        <v>0</v>
      </c>
      <c r="U52" s="421">
        <f t="shared" si="44"/>
        <v>71215.6775</v>
      </c>
      <c r="V52" s="421">
        <v>50</v>
      </c>
      <c r="W52" s="421">
        <f t="shared" si="9"/>
        <v>35607.83875</v>
      </c>
      <c r="X52" s="422">
        <v>25</v>
      </c>
      <c r="Y52" s="421">
        <f t="shared" si="10"/>
        <v>8901.9596875</v>
      </c>
      <c r="Z52" s="421">
        <f t="shared" si="11"/>
        <v>44509.7984375</v>
      </c>
      <c r="AA52" s="401">
        <f t="shared" si="12"/>
        <v>4450.97984375</v>
      </c>
      <c r="AB52" s="362">
        <f t="shared" si="13"/>
        <v>48960.77828125</v>
      </c>
      <c r="AC52" s="421">
        <f t="shared" si="14"/>
        <v>48960.77828125</v>
      </c>
      <c r="AD52" s="421">
        <f t="shared" si="15"/>
        <v>587529.339375</v>
      </c>
      <c r="AE52" s="105">
        <f t="shared" si="16"/>
        <v>0.92</v>
      </c>
      <c r="AF52" s="430">
        <f t="shared" si="45"/>
        <v>89343.3045</v>
      </c>
    </row>
    <row r="53" s="345" customFormat="1" ht="34.5" customHeight="1" spans="1:33">
      <c r="A53" s="82">
        <v>2</v>
      </c>
      <c r="B53" s="48" t="s">
        <v>141</v>
      </c>
      <c r="C53" s="15"/>
      <c r="D53" s="15"/>
      <c r="E53" s="17"/>
      <c r="F53" s="18"/>
      <c r="G53" s="86"/>
      <c r="H53" s="16"/>
      <c r="I53" s="16">
        <f>SUM(I49:I52)</f>
        <v>4.06</v>
      </c>
      <c r="J53" s="16">
        <f t="shared" ref="J53:AE53" si="46">SUM(J49:J52)</f>
        <v>0</v>
      </c>
      <c r="K53" s="16">
        <f t="shared" si="46"/>
        <v>44</v>
      </c>
      <c r="L53" s="363">
        <f t="shared" si="46"/>
        <v>22</v>
      </c>
      <c r="M53" s="363">
        <f t="shared" si="46"/>
        <v>18</v>
      </c>
      <c r="N53" s="363">
        <f t="shared" si="46"/>
        <v>0</v>
      </c>
      <c r="O53" s="16">
        <f t="shared" si="46"/>
        <v>84</v>
      </c>
      <c r="P53" s="16">
        <f t="shared" si="46"/>
        <v>0</v>
      </c>
      <c r="Q53" s="16">
        <f t="shared" si="46"/>
        <v>142431.355</v>
      </c>
      <c r="R53" s="16">
        <f t="shared" si="46"/>
        <v>90746.2833333333</v>
      </c>
      <c r="S53" s="16">
        <f t="shared" si="46"/>
        <v>58754.04</v>
      </c>
      <c r="T53" s="16">
        <f t="shared" si="46"/>
        <v>0</v>
      </c>
      <c r="U53" s="16">
        <f t="shared" si="46"/>
        <v>291931.678333333</v>
      </c>
      <c r="V53" s="16">
        <f t="shared" si="46"/>
        <v>200</v>
      </c>
      <c r="W53" s="16">
        <f t="shared" si="46"/>
        <v>145965.839166667</v>
      </c>
      <c r="X53" s="16">
        <f t="shared" si="46"/>
        <v>100</v>
      </c>
      <c r="Y53" s="16">
        <f t="shared" si="46"/>
        <v>36491.4597916667</v>
      </c>
      <c r="Z53" s="16">
        <f t="shared" si="46"/>
        <v>182457.298958333</v>
      </c>
      <c r="AA53" s="16">
        <f t="shared" si="46"/>
        <v>18245.7298958333</v>
      </c>
      <c r="AB53" s="20">
        <f t="shared" si="46"/>
        <v>200703.028854167</v>
      </c>
      <c r="AC53" s="20">
        <f t="shared" si="46"/>
        <v>200703.028854167</v>
      </c>
      <c r="AD53" s="20">
        <f t="shared" si="46"/>
        <v>2408436.34625</v>
      </c>
      <c r="AE53" s="20">
        <f t="shared" si="46"/>
        <v>4.06</v>
      </c>
      <c r="AF53" s="20">
        <f t="shared" ref="AF53" si="47">SUM(AF49:AF52)</f>
        <v>365398.8075</v>
      </c>
      <c r="AG53" s="77"/>
    </row>
    <row r="54" s="345" customFormat="1" ht="34.5" customHeight="1" spans="1:32">
      <c r="A54" s="378"/>
      <c r="B54" s="15" t="s">
        <v>142</v>
      </c>
      <c r="C54" s="15"/>
      <c r="D54" s="15"/>
      <c r="E54" s="15"/>
      <c r="F54" s="379"/>
      <c r="G54" s="15"/>
      <c r="H54" s="380">
        <f t="shared" ref="H54" si="48">SUM(H15,H28,H48,H53)</f>
        <v>0</v>
      </c>
      <c r="I54" s="380">
        <f t="shared" ref="I54:L54" si="49">SUM(I15,I28,I33,I48,I53)</f>
        <v>37.73</v>
      </c>
      <c r="J54" s="380">
        <f t="shared" si="49"/>
        <v>0</v>
      </c>
      <c r="K54" s="380">
        <f t="shared" si="49"/>
        <v>48</v>
      </c>
      <c r="L54" s="380">
        <f t="shared" si="49"/>
        <v>221</v>
      </c>
      <c r="M54" s="380">
        <f t="shared" ref="M54" si="50">SUM(M15,M28,M33,M48,M53)</f>
        <v>346</v>
      </c>
      <c r="N54" s="380">
        <f t="shared" ref="N54" si="51">SUM(N15,N28,N33,N48,N53)</f>
        <v>76</v>
      </c>
      <c r="O54" s="380">
        <f t="shared" ref="O54:P54" si="52">SUM(O15,O28,O33,O48,O53)</f>
        <v>687</v>
      </c>
      <c r="P54" s="380">
        <f t="shared" si="52"/>
        <v>0</v>
      </c>
      <c r="Q54" s="380">
        <f t="shared" ref="Q54" si="53">SUM(Q15,Q28,Q33,Q48,Q53)</f>
        <v>155969.56</v>
      </c>
      <c r="R54" s="380">
        <f t="shared" ref="R54" si="54">SUM(R15,R28,R33,R48,R53)</f>
        <v>1055380.25833333</v>
      </c>
      <c r="S54" s="380">
        <f t="shared" ref="S54:T54" si="55">SUM(S15,S28,S33,S48,S53)</f>
        <v>1611105.385</v>
      </c>
      <c r="T54" s="380">
        <f t="shared" si="55"/>
        <v>366283.6575</v>
      </c>
      <c r="U54" s="380">
        <f t="shared" ref="U54" si="56">SUM(U15,U28,U33,U48,U53)</f>
        <v>3188738.86083333</v>
      </c>
      <c r="V54" s="380">
        <f t="shared" ref="V54" si="57">SUM(V15,V28,V33,V48,V53)</f>
        <v>2000</v>
      </c>
      <c r="W54" s="380">
        <f t="shared" ref="W54:X54" si="58">SUM(W15,W28,W33,W48,W53)</f>
        <v>1594369.43041667</v>
      </c>
      <c r="X54" s="380">
        <f t="shared" si="58"/>
        <v>1000</v>
      </c>
      <c r="Y54" s="380">
        <f t="shared" ref="Y54" si="59">SUM(Y15,Y28,Y33,Y48,Y53)</f>
        <v>398592.357604167</v>
      </c>
      <c r="Z54" s="380">
        <f t="shared" ref="Z54" si="60">SUM(Z15,Z28,Z33,Z48,Z53)</f>
        <v>1992961.78802083</v>
      </c>
      <c r="AA54" s="380">
        <f t="shared" ref="AA54:AB54" si="61">SUM(AA15,AA28,AA33,AA48,AA53)</f>
        <v>186897.218177083</v>
      </c>
      <c r="AB54" s="380">
        <f t="shared" si="61"/>
        <v>2179859.00619792</v>
      </c>
      <c r="AC54" s="380">
        <f t="shared" ref="AC54" si="62">SUM(AC15,AC28,AC33,AC48,AC53)</f>
        <v>2179859.00619792</v>
      </c>
      <c r="AD54" s="380">
        <f t="shared" ref="AD54" si="63">SUM(AD15,AD28,AD33,AD48,AD53)</f>
        <v>26158308.074375</v>
      </c>
      <c r="AE54" s="380">
        <f t="shared" ref="AE54:AF54" si="64">SUM(AE15,AE28,AE33,AE48,AE53)</f>
        <v>37.73</v>
      </c>
      <c r="AF54" s="380">
        <f t="shared" si="64"/>
        <v>3986673.978</v>
      </c>
    </row>
    <row r="55" s="345" customFormat="1" ht="34.5" customHeight="1" spans="1:31">
      <c r="A55" s="381"/>
      <c r="B55" s="382"/>
      <c r="C55" s="382"/>
      <c r="D55" s="382"/>
      <c r="E55" s="382"/>
      <c r="F55" s="383"/>
      <c r="G55" s="382"/>
      <c r="H55" s="384"/>
      <c r="I55" s="414"/>
      <c r="J55" s="414"/>
      <c r="K55" s="414"/>
      <c r="L55" s="414"/>
      <c r="M55" s="414"/>
      <c r="N55" s="414"/>
      <c r="O55" s="414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415"/>
      <c r="AB55" s="348"/>
      <c r="AC55" s="391"/>
      <c r="AD55" s="391"/>
      <c r="AE55" s="77"/>
    </row>
    <row r="56" s="345" customFormat="1" ht="18.75" customHeight="1" spans="1:31">
      <c r="A56" s="381"/>
      <c r="B56" s="382"/>
      <c r="C56" s="382"/>
      <c r="D56" s="382"/>
      <c r="E56" s="382"/>
      <c r="F56" s="383"/>
      <c r="G56" s="382"/>
      <c r="H56" s="384"/>
      <c r="I56" s="414"/>
      <c r="J56" s="414"/>
      <c r="K56" s="414"/>
      <c r="L56" s="414"/>
      <c r="M56" s="414"/>
      <c r="N56" s="414"/>
      <c r="O56" s="414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415"/>
      <c r="AB56" s="348"/>
      <c r="AC56" s="391"/>
      <c r="AD56" s="391"/>
      <c r="AE56" s="77"/>
    </row>
    <row r="57" ht="18.75" customHeight="1" spans="1:32">
      <c r="A57" s="381"/>
      <c r="B57" s="382"/>
      <c r="C57" s="382"/>
      <c r="D57" s="382"/>
      <c r="E57" s="382"/>
      <c r="F57" s="385"/>
      <c r="G57" s="382"/>
      <c r="H57" s="382"/>
      <c r="I57" s="389"/>
      <c r="J57" s="389"/>
      <c r="K57" s="389"/>
      <c r="L57" s="389"/>
      <c r="M57" s="389"/>
      <c r="N57" s="389"/>
      <c r="O57" s="415"/>
      <c r="P57" s="387" t="s">
        <v>143</v>
      </c>
      <c r="Q57" s="387"/>
      <c r="R57" s="416"/>
      <c r="S57" s="388"/>
      <c r="T57" s="388"/>
      <c r="U57" s="388"/>
      <c r="V57" s="388"/>
      <c r="W57" s="388" t="s">
        <v>144</v>
      </c>
      <c r="X57" s="416"/>
      <c r="Y57" s="416"/>
      <c r="Z57" s="348"/>
      <c r="AA57" s="348"/>
      <c r="AB57" s="348"/>
      <c r="AC57" s="391"/>
      <c r="AD57" s="391"/>
      <c r="AF57" s="345"/>
    </row>
    <row r="58" ht="38.25" customHeight="1" spans="1:30">
      <c r="A58" s="381"/>
      <c r="B58" s="386"/>
      <c r="C58" s="387" t="s">
        <v>145</v>
      </c>
      <c r="D58" s="387"/>
      <c r="E58" s="387"/>
      <c r="F58" s="387"/>
      <c r="G58" s="388"/>
      <c r="H58" s="389" t="s">
        <v>146</v>
      </c>
      <c r="I58" s="387"/>
      <c r="J58" s="387"/>
      <c r="K58" s="387"/>
      <c r="L58" s="387"/>
      <c r="M58" s="387"/>
      <c r="N58" s="387"/>
      <c r="O58" s="416"/>
      <c r="P58" s="387"/>
      <c r="Q58" s="387"/>
      <c r="R58" s="416"/>
      <c r="S58" s="388"/>
      <c r="T58" s="388"/>
      <c r="U58" s="388"/>
      <c r="V58" s="388"/>
      <c r="W58" s="388"/>
      <c r="X58" s="416"/>
      <c r="Y58" s="416"/>
      <c r="Z58" s="348"/>
      <c r="AA58" s="348"/>
      <c r="AB58" s="348"/>
      <c r="AC58" s="391"/>
      <c r="AD58" s="391"/>
    </row>
    <row r="59" ht="38.25" customHeight="1" spans="1:30">
      <c r="A59" s="348"/>
      <c r="B59" s="381"/>
      <c r="C59" s="387"/>
      <c r="D59" s="387"/>
      <c r="E59" s="387"/>
      <c r="F59" s="387"/>
      <c r="G59" s="388"/>
      <c r="H59" s="389"/>
      <c r="I59" s="387"/>
      <c r="J59" s="387"/>
      <c r="K59" s="387"/>
      <c r="L59" s="387"/>
      <c r="M59" s="387"/>
      <c r="N59" s="387"/>
      <c r="O59" s="416"/>
      <c r="P59" s="387" t="s">
        <v>147</v>
      </c>
      <c r="Q59" s="387"/>
      <c r="R59" s="416"/>
      <c r="S59" s="388"/>
      <c r="T59" s="388"/>
      <c r="U59" s="388"/>
      <c r="V59" s="388"/>
      <c r="W59" s="388" t="s">
        <v>148</v>
      </c>
      <c r="X59" s="416"/>
      <c r="Y59" s="416"/>
      <c r="Z59" s="391"/>
      <c r="AA59" s="391"/>
      <c r="AB59" s="391"/>
      <c r="AC59" s="391"/>
      <c r="AD59" s="391"/>
    </row>
    <row r="60" ht="38.25" customHeight="1" spans="1:30">
      <c r="A60" s="348"/>
      <c r="B60" s="381"/>
      <c r="C60" s="388" t="s">
        <v>149</v>
      </c>
      <c r="D60" s="388"/>
      <c r="E60" s="388"/>
      <c r="F60" s="387"/>
      <c r="G60" s="388"/>
      <c r="H60" s="389" t="s">
        <v>150</v>
      </c>
      <c r="I60" s="387"/>
      <c r="J60" s="387"/>
      <c r="K60" s="387"/>
      <c r="L60" s="387"/>
      <c r="M60" s="387"/>
      <c r="N60" s="387"/>
      <c r="O60" s="416"/>
      <c r="P60" s="387"/>
      <c r="Q60" s="387"/>
      <c r="R60" s="416"/>
      <c r="S60" s="388"/>
      <c r="T60" s="388"/>
      <c r="U60" s="388"/>
      <c r="V60" s="388"/>
      <c r="W60" s="388"/>
      <c r="X60" s="416"/>
      <c r="Y60" s="416"/>
      <c r="Z60" s="391"/>
      <c r="AA60" s="391"/>
      <c r="AB60" s="391"/>
      <c r="AC60" s="391"/>
      <c r="AD60" s="391"/>
    </row>
    <row r="61" ht="18.75" customHeight="1" spans="1:30">
      <c r="A61" s="348"/>
      <c r="B61" s="381"/>
      <c r="C61" s="388"/>
      <c r="D61" s="388"/>
      <c r="E61" s="388"/>
      <c r="F61" s="388"/>
      <c r="G61" s="388"/>
      <c r="H61" s="390"/>
      <c r="I61" s="387"/>
      <c r="J61" s="387"/>
      <c r="K61" s="387"/>
      <c r="L61" s="387"/>
      <c r="M61" s="387"/>
      <c r="N61" s="387"/>
      <c r="O61" s="416"/>
      <c r="P61" s="387" t="s">
        <v>151</v>
      </c>
      <c r="Q61" s="387"/>
      <c r="R61" s="416"/>
      <c r="S61" s="388"/>
      <c r="T61" s="388"/>
      <c r="U61" s="388"/>
      <c r="V61" s="388"/>
      <c r="W61" s="388" t="s">
        <v>152</v>
      </c>
      <c r="X61" s="416"/>
      <c r="Y61" s="416"/>
      <c r="Z61" s="391"/>
      <c r="AA61" s="391"/>
      <c r="AB61" s="391"/>
      <c r="AC61" s="391"/>
      <c r="AD61" s="391"/>
    </row>
    <row r="62" ht="18.75" spans="1:30">
      <c r="A62" s="391"/>
      <c r="B62" s="381"/>
      <c r="C62" s="388" t="s">
        <v>153</v>
      </c>
      <c r="D62" s="388"/>
      <c r="E62" s="388"/>
      <c r="F62" s="387"/>
      <c r="G62" s="388"/>
      <c r="H62" s="389" t="s">
        <v>154</v>
      </c>
      <c r="I62" s="387"/>
      <c r="J62" s="387"/>
      <c r="K62" s="387"/>
      <c r="L62" s="387"/>
      <c r="M62" s="387"/>
      <c r="N62" s="387"/>
      <c r="O62" s="416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</row>
    <row r="63" ht="43.9" customHeight="1" spans="1:30">
      <c r="A63" s="391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91"/>
      <c r="P63" s="417" t="s">
        <v>155</v>
      </c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</row>
    <row r="64" ht="18.75" spans="1:30">
      <c r="A64" s="391"/>
      <c r="B64" s="348"/>
      <c r="C64" s="348"/>
      <c r="D64" s="348"/>
      <c r="E64" s="348"/>
      <c r="F64" s="348"/>
      <c r="G64" s="348"/>
      <c r="H64" s="348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</row>
    <row r="65" ht="18.75" spans="1:30">
      <c r="A65" s="391"/>
      <c r="B65" s="348"/>
      <c r="C65" s="348"/>
      <c r="D65" s="348"/>
      <c r="E65" s="348"/>
      <c r="F65" s="348"/>
      <c r="G65" s="348"/>
      <c r="H65" s="348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</row>
    <row r="66" ht="18.75" spans="1:30">
      <c r="A66" s="391"/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</row>
    <row r="67" ht="18.75" spans="1:15">
      <c r="A67" s="391"/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</row>
  </sheetData>
  <mergeCells count="28">
    <mergeCell ref="B1:D1"/>
    <mergeCell ref="B2:L2"/>
    <mergeCell ref="B3:F3"/>
    <mergeCell ref="K3:T3"/>
    <mergeCell ref="K4:T4"/>
    <mergeCell ref="E5:F5"/>
    <mergeCell ref="I5:O5"/>
    <mergeCell ref="V5:Z5"/>
    <mergeCell ref="J6:O6"/>
    <mergeCell ref="V6:W6"/>
    <mergeCell ref="X6:Y6"/>
    <mergeCell ref="P61:Q61"/>
    <mergeCell ref="A5:A7"/>
    <mergeCell ref="A17:A18"/>
    <mergeCell ref="B5:B7"/>
    <mergeCell ref="C5:C7"/>
    <mergeCell ref="D5:D7"/>
    <mergeCell ref="E6:E7"/>
    <mergeCell ref="F6:F7"/>
    <mergeCell ref="G6:G7"/>
    <mergeCell ref="H6:H7"/>
    <mergeCell ref="I6:I7"/>
    <mergeCell ref="Z6:Z7"/>
    <mergeCell ref="AB6:AB7"/>
    <mergeCell ref="AC5:AC7"/>
    <mergeCell ref="AD5:AD7"/>
    <mergeCell ref="AE5:AF6"/>
    <mergeCell ref="P5:U6"/>
  </mergeCells>
  <pageMargins left="0.708661417322835" right="0.708661417322835" top="0.748031496062992" bottom="0.748031496062992" header="0.31496062992126" footer="0.31496062992126"/>
  <pageSetup paperSize="9" scale="22" orientation="landscape"/>
  <headerFooter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51"/>
  <sheetViews>
    <sheetView view="pageBreakPreview" zoomScale="60" zoomScaleNormal="50" workbookViewId="0">
      <pane xSplit="5" ySplit="9" topLeftCell="M20" activePane="bottomRight" state="frozen"/>
      <selection/>
      <selection pane="topRight"/>
      <selection pane="bottomLeft"/>
      <selection pane="bottomRight" activeCell="B20" sqref="B20"/>
    </sheetView>
  </sheetViews>
  <sheetFormatPr defaultColWidth="9" defaultRowHeight="12.75"/>
  <cols>
    <col min="2" max="2" width="29.4285714285714" customWidth="1"/>
    <col min="3" max="3" width="25.4285714285714" customWidth="1"/>
    <col min="4" max="4" width="17" customWidth="1"/>
    <col min="5" max="5" width="11.8571428571429" customWidth="1"/>
    <col min="6" max="6" width="12.7142857142857" customWidth="1"/>
    <col min="7" max="7" width="15.8571428571429" customWidth="1"/>
    <col min="8" max="8" width="10.8571428571429" style="268" customWidth="1"/>
    <col min="9" max="9" width="9.42857142857143" customWidth="1"/>
    <col min="10" max="10" width="18.2857142857143" customWidth="1"/>
    <col min="12" max="13" width="15.1428571428571" customWidth="1"/>
    <col min="15" max="15" width="11.7142857142857" customWidth="1"/>
    <col min="17" max="17" width="15.7142857142857" customWidth="1"/>
    <col min="19" max="21" width="13" customWidth="1"/>
    <col min="23" max="23" width="12.7142857142857" customWidth="1"/>
    <col min="24" max="24" width="10.7142857142857" customWidth="1"/>
    <col min="25" max="25" width="15.8571428571429" customWidth="1"/>
    <col min="26" max="26" width="19.2857142857143" customWidth="1"/>
    <col min="27" max="27" width="16" customWidth="1"/>
    <col min="28" max="28" width="18" customWidth="1"/>
    <col min="29" max="29" width="19.8571428571429" customWidth="1"/>
    <col min="30" max="30" width="7.71428571428571" customWidth="1"/>
    <col min="31" max="31" width="16.5714285714286" customWidth="1"/>
  </cols>
  <sheetData>
    <row r="1" ht="18" customHeight="1" spans="1:30">
      <c r="A1" s="269"/>
      <c r="B1" s="270" t="s">
        <v>0</v>
      </c>
      <c r="C1" s="270"/>
      <c r="D1" s="270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323"/>
    </row>
    <row r="2" ht="18.75" spans="1:30">
      <c r="A2" s="269"/>
      <c r="B2" s="270" t="s">
        <v>156</v>
      </c>
      <c r="C2" s="270"/>
      <c r="D2" s="270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323"/>
    </row>
    <row r="3" ht="18.75" spans="1:30">
      <c r="A3" s="269"/>
      <c r="B3" s="272" t="s">
        <v>157</v>
      </c>
      <c r="C3" s="272"/>
      <c r="D3" s="272"/>
      <c r="E3" s="271"/>
      <c r="F3" s="271"/>
      <c r="G3" s="269"/>
      <c r="H3" s="269"/>
      <c r="I3" s="269"/>
      <c r="J3" s="269"/>
      <c r="K3" s="301"/>
      <c r="L3" s="302" t="s">
        <v>158</v>
      </c>
      <c r="M3" s="302"/>
      <c r="N3" s="303"/>
      <c r="O3" s="303"/>
      <c r="P3" s="303"/>
      <c r="Q3" s="303"/>
      <c r="R3" s="303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323"/>
    </row>
    <row r="4" ht="18.75" spans="1:30">
      <c r="A4" s="269"/>
      <c r="B4" s="269"/>
      <c r="C4" s="269"/>
      <c r="D4" s="269"/>
      <c r="E4" s="269"/>
      <c r="F4" s="269"/>
      <c r="G4" s="269" t="s">
        <v>4</v>
      </c>
      <c r="H4" s="269">
        <v>17697</v>
      </c>
      <c r="I4" s="269"/>
      <c r="J4" s="304"/>
      <c r="K4" s="304"/>
      <c r="L4" s="304"/>
      <c r="M4" s="304"/>
      <c r="N4" s="305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323"/>
    </row>
    <row r="5" ht="18" customHeight="1" spans="1:31">
      <c r="A5" s="132" t="s">
        <v>5</v>
      </c>
      <c r="B5" s="132" t="s">
        <v>6</v>
      </c>
      <c r="C5" s="132" t="s">
        <v>159</v>
      </c>
      <c r="D5" s="132" t="s">
        <v>8</v>
      </c>
      <c r="E5" s="132" t="s">
        <v>9</v>
      </c>
      <c r="F5" s="132"/>
      <c r="G5" s="273" t="s">
        <v>18</v>
      </c>
      <c r="H5" s="273" t="s">
        <v>19</v>
      </c>
      <c r="I5" s="306" t="s">
        <v>160</v>
      </c>
      <c r="J5" s="307" t="s">
        <v>161</v>
      </c>
      <c r="K5" s="306" t="s">
        <v>22</v>
      </c>
      <c r="L5" s="307"/>
      <c r="M5" s="273" t="s">
        <v>23</v>
      </c>
      <c r="N5" s="337" t="s">
        <v>12</v>
      </c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42"/>
      <c r="AB5" s="132" t="s">
        <v>13</v>
      </c>
      <c r="AC5" s="132" t="s">
        <v>14</v>
      </c>
      <c r="AD5" s="325" t="s">
        <v>15</v>
      </c>
      <c r="AE5" s="325"/>
    </row>
    <row r="6" ht="96.75" customHeight="1" spans="1:31">
      <c r="A6" s="132"/>
      <c r="B6" s="132"/>
      <c r="C6" s="132"/>
      <c r="D6" s="132"/>
      <c r="E6" s="132" t="s">
        <v>162</v>
      </c>
      <c r="F6" s="274" t="s">
        <v>17</v>
      </c>
      <c r="G6" s="275"/>
      <c r="H6" s="275"/>
      <c r="I6" s="311"/>
      <c r="J6" s="312"/>
      <c r="K6" s="313"/>
      <c r="L6" s="314"/>
      <c r="M6" s="275"/>
      <c r="N6" s="132" t="s">
        <v>163</v>
      </c>
      <c r="O6" s="132"/>
      <c r="P6" s="339">
        <v>0.2</v>
      </c>
      <c r="Q6" s="339"/>
      <c r="R6" s="339">
        <v>0.3</v>
      </c>
      <c r="S6" s="339"/>
      <c r="T6" s="339" t="s">
        <v>164</v>
      </c>
      <c r="U6" s="339"/>
      <c r="V6" s="339" t="s">
        <v>165</v>
      </c>
      <c r="W6" s="339"/>
      <c r="X6" s="132" t="s">
        <v>166</v>
      </c>
      <c r="Y6" s="132"/>
      <c r="Z6" s="318" t="s">
        <v>33</v>
      </c>
      <c r="AA6" s="132" t="s">
        <v>34</v>
      </c>
      <c r="AB6" s="132"/>
      <c r="AC6" s="132"/>
      <c r="AD6" s="325"/>
      <c r="AE6" s="325"/>
    </row>
    <row r="7" ht="54" customHeight="1" spans="1:31">
      <c r="A7" s="132"/>
      <c r="B7" s="132"/>
      <c r="C7" s="132"/>
      <c r="D7" s="132"/>
      <c r="E7" s="132"/>
      <c r="F7" s="274"/>
      <c r="G7" s="276"/>
      <c r="H7" s="276"/>
      <c r="I7" s="313"/>
      <c r="J7" s="314"/>
      <c r="K7" s="308" t="s">
        <v>42</v>
      </c>
      <c r="L7" s="317" t="s">
        <v>167</v>
      </c>
      <c r="M7" s="276"/>
      <c r="N7" s="132" t="s">
        <v>168</v>
      </c>
      <c r="O7" s="132" t="s">
        <v>43</v>
      </c>
      <c r="P7" s="132" t="s">
        <v>168</v>
      </c>
      <c r="Q7" s="132" t="s">
        <v>43</v>
      </c>
      <c r="R7" s="132" t="s">
        <v>168</v>
      </c>
      <c r="S7" s="132" t="s">
        <v>43</v>
      </c>
      <c r="T7" s="132" t="s">
        <v>169</v>
      </c>
      <c r="U7" s="132" t="s">
        <v>167</v>
      </c>
      <c r="V7" s="132" t="s">
        <v>170</v>
      </c>
      <c r="W7" s="132" t="s">
        <v>43</v>
      </c>
      <c r="X7" s="132" t="s">
        <v>170</v>
      </c>
      <c r="Y7" s="132" t="s">
        <v>43</v>
      </c>
      <c r="Z7" s="318" t="s">
        <v>43</v>
      </c>
      <c r="AA7" s="132"/>
      <c r="AB7" s="132"/>
      <c r="AC7" s="132"/>
      <c r="AD7" s="326" t="s">
        <v>56</v>
      </c>
      <c r="AE7" s="326" t="s">
        <v>43</v>
      </c>
    </row>
    <row r="8" ht="19.5" customHeight="1" spans="1:31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32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32">
        <v>20</v>
      </c>
      <c r="U8" s="132">
        <v>21</v>
      </c>
      <c r="V8" s="132">
        <v>22</v>
      </c>
      <c r="W8" s="132">
        <v>23</v>
      </c>
      <c r="X8" s="132">
        <v>24</v>
      </c>
      <c r="Y8" s="132">
        <v>25</v>
      </c>
      <c r="Z8" s="132">
        <v>26</v>
      </c>
      <c r="AA8" s="132">
        <v>27</v>
      </c>
      <c r="AB8" s="132">
        <v>28</v>
      </c>
      <c r="AC8" s="132">
        <v>29</v>
      </c>
      <c r="AD8" s="132">
        <v>30</v>
      </c>
      <c r="AE8" s="132">
        <v>31</v>
      </c>
    </row>
    <row r="9" s="267" customFormat="1" ht="20.1" customHeight="1" spans="1:31">
      <c r="A9" s="277"/>
      <c r="B9" s="278" t="s">
        <v>171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326"/>
      <c r="AE9" s="326"/>
    </row>
    <row r="10" ht="33" customHeight="1" spans="1:31">
      <c r="A10" s="279">
        <v>1</v>
      </c>
      <c r="B10" s="280" t="s">
        <v>172</v>
      </c>
      <c r="C10" s="280" t="s">
        <v>173</v>
      </c>
      <c r="D10" s="280" t="s">
        <v>69</v>
      </c>
      <c r="E10" s="280" t="s">
        <v>174</v>
      </c>
      <c r="F10" s="280"/>
      <c r="G10" s="281">
        <v>26</v>
      </c>
      <c r="H10" s="278">
        <v>6.22</v>
      </c>
      <c r="I10" s="285">
        <v>1</v>
      </c>
      <c r="J10" s="319">
        <f t="shared" ref="J10:J15" si="0">$H$4*H10*I10</f>
        <v>110075.34</v>
      </c>
      <c r="K10" s="285">
        <v>25</v>
      </c>
      <c r="L10" s="319">
        <f t="shared" ref="L10:L15" si="1">SUM(J10*K10)/100</f>
        <v>27518.835</v>
      </c>
      <c r="M10" s="319">
        <f t="shared" ref="M10:M15" si="2">SUM(J10,L10)</f>
        <v>137594.175</v>
      </c>
      <c r="N10" s="285"/>
      <c r="O10" s="285">
        <f t="shared" ref="O10:O15" si="3">SUM($H$4*0.2)*N10</f>
        <v>0</v>
      </c>
      <c r="P10" s="285"/>
      <c r="Q10" s="285">
        <f t="shared" ref="Q10:Q15" si="4">$H$4*0.2*P10</f>
        <v>0</v>
      </c>
      <c r="R10" s="319"/>
      <c r="S10" s="285">
        <f t="shared" ref="S10:S15" si="5">$H$4*0.3*R10</f>
        <v>0</v>
      </c>
      <c r="T10" s="285"/>
      <c r="U10" s="285">
        <f t="shared" ref="U10:U35" si="6">SUM($H$4*T10/100)</f>
        <v>0</v>
      </c>
      <c r="V10" s="285"/>
      <c r="W10" s="285">
        <f t="shared" ref="W10:W15" si="7">SUM($H$4*H10/168*24)/6*V10</f>
        <v>0</v>
      </c>
      <c r="X10" s="285"/>
      <c r="Y10" s="285">
        <f t="shared" ref="Y10:Y15" si="8">SUM($H$4*H10*I10*0.5/168*8)*X10</f>
        <v>0</v>
      </c>
      <c r="Z10" s="285">
        <f t="shared" ref="Z10:Z15" si="9">SUM(J10*0.1)</f>
        <v>11007.534</v>
      </c>
      <c r="AA10" s="319">
        <f t="shared" ref="AA10:AA15" si="10">SUM(L10,O10,Q10,S10,W10,U10,Z10,Y10)</f>
        <v>38526.369</v>
      </c>
      <c r="AB10" s="289">
        <f t="shared" ref="AB10:AB16" si="11">SUM(J10+AA10)</f>
        <v>148601.709</v>
      </c>
      <c r="AC10" s="319">
        <f t="shared" ref="AC10:AC19" si="12">SUM(AB10*4)</f>
        <v>594406.836</v>
      </c>
      <c r="AD10" s="327">
        <v>1</v>
      </c>
      <c r="AE10" s="328">
        <f t="shared" ref="AE10:AE15" si="13">SUM(($H$4*H10+(($H$4*H10*K10)/100))*AD10)</f>
        <v>137594.175</v>
      </c>
    </row>
    <row r="11" ht="32.25" customHeight="1" spans="1:31">
      <c r="A11" s="279">
        <v>2</v>
      </c>
      <c r="B11" s="280" t="s">
        <v>83</v>
      </c>
      <c r="C11" s="280" t="s">
        <v>175</v>
      </c>
      <c r="D11" s="280" t="s">
        <v>69</v>
      </c>
      <c r="E11" s="280" t="s">
        <v>176</v>
      </c>
      <c r="F11" s="282"/>
      <c r="G11" s="281">
        <v>39</v>
      </c>
      <c r="H11" s="278">
        <v>5.91</v>
      </c>
      <c r="I11" s="285">
        <v>0.5</v>
      </c>
      <c r="J11" s="319">
        <f t="shared" si="0"/>
        <v>52294.635</v>
      </c>
      <c r="K11" s="285">
        <v>25</v>
      </c>
      <c r="L11" s="319">
        <f t="shared" si="1"/>
        <v>13073.65875</v>
      </c>
      <c r="M11" s="319">
        <f t="shared" si="2"/>
        <v>65368.29375</v>
      </c>
      <c r="N11" s="285"/>
      <c r="O11" s="285">
        <f t="shared" si="3"/>
        <v>0</v>
      </c>
      <c r="P11" s="285"/>
      <c r="Q11" s="285">
        <f t="shared" si="4"/>
        <v>0</v>
      </c>
      <c r="R11" s="319"/>
      <c r="S11" s="285">
        <f t="shared" si="5"/>
        <v>0</v>
      </c>
      <c r="T11" s="285"/>
      <c r="U11" s="285">
        <f t="shared" si="6"/>
        <v>0</v>
      </c>
      <c r="V11" s="285"/>
      <c r="W11" s="285">
        <f t="shared" si="7"/>
        <v>0</v>
      </c>
      <c r="X11" s="285"/>
      <c r="Y11" s="285">
        <f t="shared" si="8"/>
        <v>0</v>
      </c>
      <c r="Z11" s="285">
        <f t="shared" si="9"/>
        <v>5229.4635</v>
      </c>
      <c r="AA11" s="319">
        <f t="shared" si="10"/>
        <v>18303.12225</v>
      </c>
      <c r="AB11" s="289">
        <f t="shared" si="11"/>
        <v>70597.75725</v>
      </c>
      <c r="AC11" s="319">
        <f t="shared" si="12"/>
        <v>282391.029</v>
      </c>
      <c r="AD11" s="329">
        <v>0.5</v>
      </c>
      <c r="AE11" s="328">
        <f t="shared" si="13"/>
        <v>65368.29375</v>
      </c>
    </row>
    <row r="12" ht="39.75" customHeight="1" spans="1:31">
      <c r="A12" s="279">
        <v>3</v>
      </c>
      <c r="B12" s="280" t="s">
        <v>79</v>
      </c>
      <c r="C12" s="280" t="s">
        <v>175</v>
      </c>
      <c r="D12" s="280" t="s">
        <v>69</v>
      </c>
      <c r="E12" s="280" t="s">
        <v>176</v>
      </c>
      <c r="F12" s="282"/>
      <c r="G12" s="283">
        <v>14.4</v>
      </c>
      <c r="H12" s="278">
        <v>5.43</v>
      </c>
      <c r="I12" s="285">
        <v>1</v>
      </c>
      <c r="J12" s="319">
        <f t="shared" si="0"/>
        <v>96094.71</v>
      </c>
      <c r="K12" s="285">
        <v>25</v>
      </c>
      <c r="L12" s="319">
        <f t="shared" si="1"/>
        <v>24023.6775</v>
      </c>
      <c r="M12" s="319">
        <f t="shared" si="2"/>
        <v>120118.3875</v>
      </c>
      <c r="N12" s="285"/>
      <c r="O12" s="285">
        <f t="shared" si="3"/>
        <v>0</v>
      </c>
      <c r="P12" s="285"/>
      <c r="Q12" s="285">
        <f t="shared" si="4"/>
        <v>0</v>
      </c>
      <c r="R12" s="319"/>
      <c r="S12" s="285">
        <f t="shared" si="5"/>
        <v>0</v>
      </c>
      <c r="T12" s="285"/>
      <c r="U12" s="285">
        <f t="shared" si="6"/>
        <v>0</v>
      </c>
      <c r="V12" s="285"/>
      <c r="W12" s="285">
        <f t="shared" si="7"/>
        <v>0</v>
      </c>
      <c r="X12" s="285"/>
      <c r="Y12" s="285">
        <f t="shared" si="8"/>
        <v>0</v>
      </c>
      <c r="Z12" s="285">
        <f t="shared" si="9"/>
        <v>9609.471</v>
      </c>
      <c r="AA12" s="319">
        <f t="shared" si="10"/>
        <v>33633.1485</v>
      </c>
      <c r="AB12" s="289">
        <f t="shared" si="11"/>
        <v>129727.8585</v>
      </c>
      <c r="AC12" s="319">
        <f t="shared" si="12"/>
        <v>518911.434</v>
      </c>
      <c r="AD12" s="329">
        <v>1</v>
      </c>
      <c r="AE12" s="328">
        <f t="shared" si="13"/>
        <v>120118.3875</v>
      </c>
    </row>
    <row r="13" ht="39.75" customHeight="1" spans="1:31">
      <c r="A13" s="279">
        <v>4</v>
      </c>
      <c r="B13" s="280" t="s">
        <v>92</v>
      </c>
      <c r="C13" s="280" t="s">
        <v>177</v>
      </c>
      <c r="D13" s="280" t="s">
        <v>69</v>
      </c>
      <c r="E13" s="280" t="s">
        <v>176</v>
      </c>
      <c r="F13" s="282"/>
      <c r="G13" s="284">
        <v>25.2</v>
      </c>
      <c r="H13" s="278">
        <v>5.91</v>
      </c>
      <c r="I13" s="285">
        <v>1</v>
      </c>
      <c r="J13" s="319">
        <f t="shared" si="0"/>
        <v>104589.27</v>
      </c>
      <c r="K13" s="285">
        <v>25</v>
      </c>
      <c r="L13" s="319">
        <f t="shared" si="1"/>
        <v>26147.3175</v>
      </c>
      <c r="M13" s="319">
        <f t="shared" si="2"/>
        <v>130736.5875</v>
      </c>
      <c r="N13" s="285"/>
      <c r="O13" s="285">
        <f t="shared" si="3"/>
        <v>0</v>
      </c>
      <c r="P13" s="285"/>
      <c r="Q13" s="285">
        <f t="shared" si="4"/>
        <v>0</v>
      </c>
      <c r="R13" s="319"/>
      <c r="S13" s="285">
        <f t="shared" si="5"/>
        <v>0</v>
      </c>
      <c r="T13" s="285"/>
      <c r="U13" s="285">
        <f t="shared" si="6"/>
        <v>0</v>
      </c>
      <c r="V13" s="285"/>
      <c r="W13" s="285">
        <f t="shared" si="7"/>
        <v>0</v>
      </c>
      <c r="X13" s="285"/>
      <c r="Y13" s="285">
        <f t="shared" si="8"/>
        <v>0</v>
      </c>
      <c r="Z13" s="285">
        <f t="shared" si="9"/>
        <v>10458.927</v>
      </c>
      <c r="AA13" s="319">
        <f t="shared" si="10"/>
        <v>36606.2445</v>
      </c>
      <c r="AB13" s="289">
        <f t="shared" si="11"/>
        <v>141195.5145</v>
      </c>
      <c r="AC13" s="319">
        <f t="shared" si="12"/>
        <v>564782.058</v>
      </c>
      <c r="AD13" s="327">
        <v>1</v>
      </c>
      <c r="AE13" s="328">
        <f t="shared" si="13"/>
        <v>130736.5875</v>
      </c>
    </row>
    <row r="14" ht="32.45" customHeight="1" spans="1:31">
      <c r="A14" s="279">
        <v>5</v>
      </c>
      <c r="B14" s="278" t="s">
        <v>88</v>
      </c>
      <c r="C14" s="280" t="s">
        <v>177</v>
      </c>
      <c r="D14" s="285" t="s">
        <v>69</v>
      </c>
      <c r="E14" s="280" t="s">
        <v>176</v>
      </c>
      <c r="F14" s="285"/>
      <c r="G14" s="331">
        <v>17.1</v>
      </c>
      <c r="H14" s="332">
        <v>4.86</v>
      </c>
      <c r="I14" s="285">
        <v>0.5</v>
      </c>
      <c r="J14" s="319">
        <f t="shared" si="0"/>
        <v>43003.71</v>
      </c>
      <c r="K14" s="285">
        <v>25</v>
      </c>
      <c r="L14" s="319">
        <f t="shared" si="1"/>
        <v>10750.9275</v>
      </c>
      <c r="M14" s="319">
        <f t="shared" si="2"/>
        <v>53754.6375</v>
      </c>
      <c r="N14" s="285"/>
      <c r="O14" s="285">
        <f t="shared" si="3"/>
        <v>0</v>
      </c>
      <c r="P14" s="285"/>
      <c r="Q14" s="285">
        <f t="shared" si="4"/>
        <v>0</v>
      </c>
      <c r="R14" s="319"/>
      <c r="S14" s="285">
        <f t="shared" si="5"/>
        <v>0</v>
      </c>
      <c r="T14" s="285"/>
      <c r="U14" s="285">
        <f t="shared" si="6"/>
        <v>0</v>
      </c>
      <c r="V14" s="285"/>
      <c r="W14" s="285">
        <f t="shared" si="7"/>
        <v>0</v>
      </c>
      <c r="X14" s="285"/>
      <c r="Y14" s="285">
        <f t="shared" si="8"/>
        <v>0</v>
      </c>
      <c r="Z14" s="285">
        <f t="shared" si="9"/>
        <v>4300.371</v>
      </c>
      <c r="AA14" s="319">
        <f t="shared" si="10"/>
        <v>15051.2985</v>
      </c>
      <c r="AB14" s="289">
        <f t="shared" si="11"/>
        <v>58055.0085</v>
      </c>
      <c r="AC14" s="319">
        <f t="shared" si="12"/>
        <v>232220.034</v>
      </c>
      <c r="AD14" s="329">
        <v>0.5</v>
      </c>
      <c r="AE14" s="328">
        <f t="shared" si="13"/>
        <v>53754.6375</v>
      </c>
    </row>
    <row r="15" ht="32.45" customHeight="1" spans="1:31">
      <c r="A15" s="279">
        <v>6</v>
      </c>
      <c r="B15" s="280" t="s">
        <v>178</v>
      </c>
      <c r="C15" s="280" t="s">
        <v>179</v>
      </c>
      <c r="D15" s="280" t="s">
        <v>180</v>
      </c>
      <c r="E15" s="280" t="s">
        <v>181</v>
      </c>
      <c r="F15" s="333"/>
      <c r="G15" s="285">
        <v>1.4</v>
      </c>
      <c r="H15" s="278">
        <v>3.35</v>
      </c>
      <c r="I15" s="280">
        <v>1</v>
      </c>
      <c r="J15" s="319">
        <f t="shared" si="0"/>
        <v>59284.95</v>
      </c>
      <c r="K15" s="285"/>
      <c r="L15" s="319">
        <f t="shared" si="1"/>
        <v>0</v>
      </c>
      <c r="M15" s="319">
        <f t="shared" si="2"/>
        <v>59284.95</v>
      </c>
      <c r="N15" s="285"/>
      <c r="O15" s="285">
        <f t="shared" si="3"/>
        <v>0</v>
      </c>
      <c r="P15" s="285"/>
      <c r="Q15" s="285">
        <f t="shared" si="4"/>
        <v>0</v>
      </c>
      <c r="R15" s="319"/>
      <c r="S15" s="285">
        <f t="shared" si="5"/>
        <v>0</v>
      </c>
      <c r="T15" s="285"/>
      <c r="U15" s="285">
        <f t="shared" si="6"/>
        <v>0</v>
      </c>
      <c r="V15" s="285"/>
      <c r="W15" s="285">
        <f t="shared" si="7"/>
        <v>0</v>
      </c>
      <c r="X15" s="285"/>
      <c r="Y15" s="285">
        <f t="shared" si="8"/>
        <v>0</v>
      </c>
      <c r="Z15" s="285">
        <f t="shared" si="9"/>
        <v>5928.495</v>
      </c>
      <c r="AA15" s="319">
        <f t="shared" si="10"/>
        <v>5928.495</v>
      </c>
      <c r="AB15" s="289">
        <f t="shared" si="11"/>
        <v>65213.445</v>
      </c>
      <c r="AC15" s="319">
        <f t="shared" si="12"/>
        <v>260853.78</v>
      </c>
      <c r="AD15" s="329">
        <v>1</v>
      </c>
      <c r="AE15" s="328">
        <f t="shared" si="13"/>
        <v>59284.95</v>
      </c>
    </row>
    <row r="16" ht="20.1" customHeight="1" spans="1:31">
      <c r="A16" s="279"/>
      <c r="B16" s="278" t="s">
        <v>182</v>
      </c>
      <c r="C16" s="285"/>
      <c r="D16" s="285"/>
      <c r="E16" s="285"/>
      <c r="F16" s="285"/>
      <c r="G16" s="285"/>
      <c r="H16" s="285"/>
      <c r="I16" s="278">
        <f>SUM(I10:I15)</f>
        <v>5</v>
      </c>
      <c r="J16" s="289">
        <f t="shared" ref="J16:AE16" si="14">SUM(J10:J15)</f>
        <v>465342.615</v>
      </c>
      <c r="K16" s="278">
        <f t="shared" si="14"/>
        <v>125</v>
      </c>
      <c r="L16" s="289">
        <f t="shared" si="14"/>
        <v>101514.41625</v>
      </c>
      <c r="M16" s="278">
        <f t="shared" si="14"/>
        <v>566857.03125</v>
      </c>
      <c r="N16" s="278">
        <f t="shared" si="14"/>
        <v>0</v>
      </c>
      <c r="O16" s="278">
        <f t="shared" si="14"/>
        <v>0</v>
      </c>
      <c r="P16" s="278">
        <f t="shared" si="14"/>
        <v>0</v>
      </c>
      <c r="Q16" s="278">
        <f t="shared" si="14"/>
        <v>0</v>
      </c>
      <c r="R16" s="278">
        <f t="shared" si="14"/>
        <v>0</v>
      </c>
      <c r="S16" s="278">
        <f t="shared" si="14"/>
        <v>0</v>
      </c>
      <c r="T16" s="278">
        <f t="shared" si="14"/>
        <v>0</v>
      </c>
      <c r="U16" s="278">
        <f t="shared" si="14"/>
        <v>0</v>
      </c>
      <c r="V16" s="278">
        <f t="shared" si="14"/>
        <v>0</v>
      </c>
      <c r="W16" s="278">
        <f t="shared" si="14"/>
        <v>0</v>
      </c>
      <c r="X16" s="278">
        <f t="shared" si="14"/>
        <v>0</v>
      </c>
      <c r="Y16" s="278">
        <f t="shared" si="14"/>
        <v>0</v>
      </c>
      <c r="Z16" s="289">
        <f t="shared" si="14"/>
        <v>46534.2615</v>
      </c>
      <c r="AA16" s="289">
        <f t="shared" si="14"/>
        <v>148048.67775</v>
      </c>
      <c r="AB16" s="289">
        <f t="shared" si="11"/>
        <v>613391.29275</v>
      </c>
      <c r="AC16" s="319">
        <f t="shared" si="12"/>
        <v>2453565.171</v>
      </c>
      <c r="AD16" s="278">
        <f t="shared" si="14"/>
        <v>5</v>
      </c>
      <c r="AE16" s="289">
        <f t="shared" si="14"/>
        <v>566857.03125</v>
      </c>
    </row>
    <row r="17" ht="20.1" customHeight="1" spans="1:30">
      <c r="A17" s="279">
        <v>5</v>
      </c>
      <c r="B17" s="278" t="s">
        <v>183</v>
      </c>
      <c r="C17" s="285"/>
      <c r="D17" s="285"/>
      <c r="E17" s="285"/>
      <c r="F17" s="285"/>
      <c r="G17" s="285"/>
      <c r="H17" s="285"/>
      <c r="I17" s="285"/>
      <c r="J17" s="319"/>
      <c r="K17" s="285"/>
      <c r="L17" s="319"/>
      <c r="M17" s="319"/>
      <c r="N17" s="285"/>
      <c r="O17" s="285"/>
      <c r="P17" s="285"/>
      <c r="Q17" s="285"/>
      <c r="R17" s="319"/>
      <c r="S17" s="285"/>
      <c r="T17" s="285"/>
      <c r="U17" s="285">
        <f t="shared" si="6"/>
        <v>0</v>
      </c>
      <c r="V17" s="285"/>
      <c r="W17" s="285"/>
      <c r="X17" s="285"/>
      <c r="Y17" s="285"/>
      <c r="Z17" s="285"/>
      <c r="AA17" s="319"/>
      <c r="AB17" s="289"/>
      <c r="AC17" s="319">
        <f t="shared" si="12"/>
        <v>0</v>
      </c>
      <c r="AD17" s="323"/>
    </row>
    <row r="18" ht="42" customHeight="1" spans="1:31">
      <c r="A18" s="279">
        <v>1</v>
      </c>
      <c r="B18" s="280" t="s">
        <v>122</v>
      </c>
      <c r="C18" s="280" t="s">
        <v>184</v>
      </c>
      <c r="D18" s="280" t="s">
        <v>69</v>
      </c>
      <c r="E18" s="280" t="s">
        <v>185</v>
      </c>
      <c r="F18" s="280">
        <v>2</v>
      </c>
      <c r="G18" s="286">
        <v>6.4</v>
      </c>
      <c r="H18" s="278">
        <v>4.66</v>
      </c>
      <c r="I18" s="280">
        <v>1</v>
      </c>
      <c r="J18" s="321">
        <f>$H$4*H18*I18</f>
        <v>82468.02</v>
      </c>
      <c r="K18" s="285">
        <v>25</v>
      </c>
      <c r="L18" s="319">
        <f>SUM(J18*K18)/100</f>
        <v>20617.005</v>
      </c>
      <c r="M18" s="319">
        <f t="shared" ref="M18:M35" si="15">SUM(J18,L18)</f>
        <v>103085.025</v>
      </c>
      <c r="N18" s="285"/>
      <c r="O18" s="285">
        <f>SUM($H$4*0.2)*N18</f>
        <v>0</v>
      </c>
      <c r="P18" s="285"/>
      <c r="Q18" s="285">
        <f>$H$4*0.2*P18</f>
        <v>0</v>
      </c>
      <c r="R18" s="319"/>
      <c r="S18" s="285">
        <f>$H$4*0.3*R18</f>
        <v>0</v>
      </c>
      <c r="T18" s="285"/>
      <c r="U18" s="285">
        <f t="shared" si="6"/>
        <v>0</v>
      </c>
      <c r="V18" s="285"/>
      <c r="W18" s="285">
        <f>SUM($H$4*H18/168*24)/6*V18</f>
        <v>0</v>
      </c>
      <c r="X18" s="285"/>
      <c r="Y18" s="285">
        <f>SUM($H$4*H18*I18*0.5/168*8)*X18</f>
        <v>0</v>
      </c>
      <c r="Z18" s="285">
        <f>SUM(J18*0.1)</f>
        <v>8246.802</v>
      </c>
      <c r="AA18" s="319">
        <f>SUM(L18,O18,Q18,S18,W18,U18,Z18,Y18)</f>
        <v>28863.807</v>
      </c>
      <c r="AB18" s="289">
        <f>SUM(J18+AA18)</f>
        <v>111331.827</v>
      </c>
      <c r="AC18" s="319">
        <f t="shared" si="12"/>
        <v>445327.308</v>
      </c>
      <c r="AD18" s="329">
        <v>1</v>
      </c>
      <c r="AE18" s="328">
        <f>SUM(($H$4*H18+(($H$4*H18*K18)/100))*AD18)</f>
        <v>103085.025</v>
      </c>
    </row>
    <row r="19" ht="38.25" customHeight="1" spans="1:31">
      <c r="A19" s="279">
        <v>2</v>
      </c>
      <c r="B19" s="280" t="s">
        <v>186</v>
      </c>
      <c r="C19" s="280" t="s">
        <v>187</v>
      </c>
      <c r="D19" s="280" t="s">
        <v>69</v>
      </c>
      <c r="E19" s="280" t="s">
        <v>188</v>
      </c>
      <c r="F19" s="280">
        <v>2</v>
      </c>
      <c r="G19" s="287">
        <v>21.2</v>
      </c>
      <c r="H19" s="278">
        <v>5.08</v>
      </c>
      <c r="I19" s="280">
        <v>1</v>
      </c>
      <c r="J19" s="321">
        <f>$H$4*H19*I19</f>
        <v>89900.76</v>
      </c>
      <c r="K19" s="285">
        <v>25</v>
      </c>
      <c r="L19" s="319">
        <f>SUM(J19*K19)/100</f>
        <v>22475.19</v>
      </c>
      <c r="M19" s="319">
        <f t="shared" si="15"/>
        <v>112375.95</v>
      </c>
      <c r="N19" s="285"/>
      <c r="O19" s="285">
        <f>SUM($H$4*0.2)*N19</f>
        <v>0</v>
      </c>
      <c r="P19" s="285"/>
      <c r="Q19" s="285">
        <f>$H$4*0.2*P19</f>
        <v>0</v>
      </c>
      <c r="R19" s="319"/>
      <c r="S19" s="285">
        <f>$H$4*0.3*R19</f>
        <v>0</v>
      </c>
      <c r="T19" s="285"/>
      <c r="U19" s="285">
        <f t="shared" si="6"/>
        <v>0</v>
      </c>
      <c r="V19" s="285"/>
      <c r="W19" s="285">
        <f>SUM($H$4*H19/168*24)/6*V19</f>
        <v>0</v>
      </c>
      <c r="X19" s="285"/>
      <c r="Y19" s="285">
        <f>SUM($H$4*H19*I19*0.5/168*8)*X19</f>
        <v>0</v>
      </c>
      <c r="Z19" s="285">
        <f>SUM(J19*0.1)</f>
        <v>8990.076</v>
      </c>
      <c r="AA19" s="319">
        <f>SUM(L19,O19,Q19,S19,W19,U19,Z19,Y19)</f>
        <v>31465.266</v>
      </c>
      <c r="AB19" s="289">
        <f t="shared" ref="AB19:AB37" si="16">SUM(J19+AA19)</f>
        <v>121366.026</v>
      </c>
      <c r="AC19" s="319">
        <f t="shared" si="12"/>
        <v>485464.104</v>
      </c>
      <c r="AD19" s="329">
        <v>1</v>
      </c>
      <c r="AE19" s="328">
        <f>SUM(($H$4*H19+(($H$4*H19*K19)/100))*AD19)</f>
        <v>112375.95</v>
      </c>
    </row>
    <row r="20" ht="46.5" customHeight="1" spans="1:31">
      <c r="A20" s="279">
        <v>3</v>
      </c>
      <c r="B20" s="280" t="s">
        <v>189</v>
      </c>
      <c r="C20" s="280" t="s">
        <v>190</v>
      </c>
      <c r="D20" s="280" t="s">
        <v>69</v>
      </c>
      <c r="E20" s="280" t="s">
        <v>191</v>
      </c>
      <c r="F20" s="280"/>
      <c r="G20" s="288" t="s">
        <v>130</v>
      </c>
      <c r="H20" s="289">
        <v>4.1</v>
      </c>
      <c r="I20" s="280">
        <v>1</v>
      </c>
      <c r="J20" s="321">
        <f>$H$4*H20*I20</f>
        <v>72557.7</v>
      </c>
      <c r="K20" s="285">
        <v>25</v>
      </c>
      <c r="L20" s="319">
        <f>SUM(J20*K20)/100</f>
        <v>18139.425</v>
      </c>
      <c r="M20" s="319">
        <f t="shared" si="15"/>
        <v>90697.125</v>
      </c>
      <c r="N20" s="285"/>
      <c r="O20" s="285">
        <f>SUM($H$4*0.2)*N20</f>
        <v>0</v>
      </c>
      <c r="P20" s="285"/>
      <c r="Q20" s="285">
        <f>$H$4*0.2*P20</f>
        <v>0</v>
      </c>
      <c r="R20" s="319"/>
      <c r="S20" s="285">
        <f>$H$4*0.3*R20</f>
        <v>0</v>
      </c>
      <c r="T20" s="285"/>
      <c r="U20" s="285">
        <f t="shared" si="6"/>
        <v>0</v>
      </c>
      <c r="V20" s="285"/>
      <c r="W20" s="285">
        <f>SUM($H$4*H20/168*24)/6*V20</f>
        <v>0</v>
      </c>
      <c r="X20" s="285"/>
      <c r="Y20" s="285">
        <f>SUM($H$4*H20*I20*0.5/168*8)*X20</f>
        <v>0</v>
      </c>
      <c r="Z20" s="285">
        <f>SUM(J20*0.1)</f>
        <v>7255.77</v>
      </c>
      <c r="AA20" s="319">
        <f>SUM(L20,O20,Q20,S20,W20,U20,Z20,Y20)</f>
        <v>25395.195</v>
      </c>
      <c r="AB20" s="289">
        <f t="shared" si="16"/>
        <v>97952.895</v>
      </c>
      <c r="AC20" s="319">
        <f>SUM(AB20*12)</f>
        <v>1175434.74</v>
      </c>
      <c r="AD20" s="329">
        <v>1</v>
      </c>
      <c r="AE20" s="328">
        <f>SUM(($H$4*H20+(($H$4*H20*K20)/100))*AD20)</f>
        <v>90697.125</v>
      </c>
    </row>
    <row r="21" ht="46.5" customHeight="1" spans="1:31">
      <c r="A21" s="279">
        <v>4</v>
      </c>
      <c r="B21" s="280" t="s">
        <v>192</v>
      </c>
      <c r="C21" s="280" t="s">
        <v>193</v>
      </c>
      <c r="D21" s="280" t="s">
        <v>69</v>
      </c>
      <c r="E21" s="280" t="s">
        <v>78</v>
      </c>
      <c r="F21" s="280"/>
      <c r="G21" s="288" t="s">
        <v>194</v>
      </c>
      <c r="H21" s="289">
        <v>4.86</v>
      </c>
      <c r="I21" s="280">
        <v>1</v>
      </c>
      <c r="J21" s="321">
        <f>$H$4*H21*I21</f>
        <v>86007.42</v>
      </c>
      <c r="K21" s="285">
        <v>25</v>
      </c>
      <c r="L21" s="319">
        <f>SUM(J21*K21)/100</f>
        <v>21501.855</v>
      </c>
      <c r="M21" s="319">
        <f t="shared" si="15"/>
        <v>107509.275</v>
      </c>
      <c r="N21" s="285"/>
      <c r="O21" s="285">
        <f>SUM($H$4*0.2)*N21</f>
        <v>0</v>
      </c>
      <c r="P21" s="285"/>
      <c r="Q21" s="285">
        <f>$H$4*0.2*P21</f>
        <v>0</v>
      </c>
      <c r="R21" s="319"/>
      <c r="S21" s="285">
        <f>$H$4*0.3*R21</f>
        <v>0</v>
      </c>
      <c r="T21" s="285"/>
      <c r="U21" s="285">
        <f t="shared" si="6"/>
        <v>0</v>
      </c>
      <c r="V21" s="285"/>
      <c r="W21" s="285">
        <f>SUM($H$4*H21/168*24)/6*V21</f>
        <v>0</v>
      </c>
      <c r="X21" s="285"/>
      <c r="Y21" s="285">
        <f>SUM($H$4*H21*I21*0.5/168*8)*X21</f>
        <v>0</v>
      </c>
      <c r="Z21" s="285">
        <f>SUM(J21*0.1)</f>
        <v>8600.742</v>
      </c>
      <c r="AA21" s="319">
        <f>SUM(L21,O21,Q21,S21,W21,U21,Z21,Y21)</f>
        <v>30102.597</v>
      </c>
      <c r="AB21" s="289">
        <f t="shared" si="16"/>
        <v>116110.017</v>
      </c>
      <c r="AC21" s="319">
        <f>SUM(AB21*12)</f>
        <v>1393320.204</v>
      </c>
      <c r="AD21" s="329">
        <v>1</v>
      </c>
      <c r="AE21" s="328">
        <f>SUM(($H$4*H21+(($H$4*H21*K21)/100))*AD21)</f>
        <v>107509.275</v>
      </c>
    </row>
    <row r="22" ht="20.1" customHeight="1" spans="1:31">
      <c r="A22" s="279"/>
      <c r="B22" s="278" t="s">
        <v>195</v>
      </c>
      <c r="C22" s="285"/>
      <c r="D22" s="285"/>
      <c r="E22" s="285"/>
      <c r="F22" s="285"/>
      <c r="G22" s="285"/>
      <c r="H22" s="285"/>
      <c r="I22" s="278">
        <f>SUM(I18:I21)</f>
        <v>4</v>
      </c>
      <c r="J22" s="278">
        <f t="shared" ref="J22:AA22" si="17">SUM(J18:J20)</f>
        <v>244926.48</v>
      </c>
      <c r="K22" s="278">
        <f t="shared" si="17"/>
        <v>75</v>
      </c>
      <c r="L22" s="278">
        <f t="shared" si="17"/>
        <v>61231.62</v>
      </c>
      <c r="M22" s="278">
        <f t="shared" si="17"/>
        <v>306158.1</v>
      </c>
      <c r="N22" s="278">
        <f t="shared" si="17"/>
        <v>0</v>
      </c>
      <c r="O22" s="278">
        <f t="shared" si="17"/>
        <v>0</v>
      </c>
      <c r="P22" s="278">
        <f t="shared" si="17"/>
        <v>0</v>
      </c>
      <c r="Q22" s="278">
        <f t="shared" si="17"/>
        <v>0</v>
      </c>
      <c r="R22" s="278">
        <f t="shared" si="17"/>
        <v>0</v>
      </c>
      <c r="S22" s="278">
        <f t="shared" si="17"/>
        <v>0</v>
      </c>
      <c r="T22" s="278">
        <f t="shared" si="17"/>
        <v>0</v>
      </c>
      <c r="U22" s="278">
        <f t="shared" si="17"/>
        <v>0</v>
      </c>
      <c r="V22" s="278">
        <f t="shared" si="17"/>
        <v>0</v>
      </c>
      <c r="W22" s="278">
        <f t="shared" si="17"/>
        <v>0</v>
      </c>
      <c r="X22" s="278">
        <f t="shared" si="17"/>
        <v>0</v>
      </c>
      <c r="Y22" s="278">
        <f t="shared" si="17"/>
        <v>0</v>
      </c>
      <c r="Z22" s="289">
        <f t="shared" si="17"/>
        <v>24492.648</v>
      </c>
      <c r="AA22" s="289">
        <f t="shared" si="17"/>
        <v>85724.268</v>
      </c>
      <c r="AB22" s="289">
        <f t="shared" si="16"/>
        <v>330650.748</v>
      </c>
      <c r="AC22" s="319">
        <f t="shared" ref="AC22:AC37" si="18">SUM(AB22*12)</f>
        <v>3967808.976</v>
      </c>
      <c r="AD22" s="278">
        <f>SUM(AD18:AD20)</f>
        <v>3</v>
      </c>
      <c r="AE22" s="289">
        <f>SUM(AE18:AE20)</f>
        <v>306158.1</v>
      </c>
    </row>
    <row r="23" s="267" customFormat="1" ht="18" customHeight="1" spans="1:30">
      <c r="A23" s="278"/>
      <c r="B23" s="278" t="s">
        <v>196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319">
        <f t="shared" si="15"/>
        <v>0</v>
      </c>
      <c r="N23" s="278"/>
      <c r="O23" s="278"/>
      <c r="P23" s="278"/>
      <c r="Q23" s="278"/>
      <c r="R23" s="278"/>
      <c r="S23" s="278"/>
      <c r="T23" s="278"/>
      <c r="U23" s="285">
        <f t="shared" si="6"/>
        <v>0</v>
      </c>
      <c r="V23" s="278"/>
      <c r="W23" s="278"/>
      <c r="X23" s="278"/>
      <c r="Y23" s="278"/>
      <c r="Z23" s="278"/>
      <c r="AA23" s="278"/>
      <c r="AB23" s="289">
        <f t="shared" si="16"/>
        <v>0</v>
      </c>
      <c r="AC23" s="319">
        <f t="shared" si="18"/>
        <v>0</v>
      </c>
      <c r="AD23" s="343"/>
    </row>
    <row r="24" ht="34.5" customHeight="1" spans="1:31">
      <c r="A24" s="279">
        <v>1</v>
      </c>
      <c r="B24" s="280" t="s">
        <v>197</v>
      </c>
      <c r="C24" s="280" t="s">
        <v>198</v>
      </c>
      <c r="D24" s="280" t="s">
        <v>199</v>
      </c>
      <c r="E24" s="280" t="s">
        <v>181</v>
      </c>
      <c r="F24" s="280"/>
      <c r="G24" s="334">
        <v>7.1</v>
      </c>
      <c r="H24" s="289">
        <v>3.46</v>
      </c>
      <c r="I24" s="340">
        <v>0.5</v>
      </c>
      <c r="J24" s="321">
        <f>$H$4*H24*I24</f>
        <v>30615.81</v>
      </c>
      <c r="K24" s="285">
        <v>25</v>
      </c>
      <c r="L24" s="319">
        <f>SUM(J24*K24)/100</f>
        <v>7653.9525</v>
      </c>
      <c r="M24" s="319">
        <f t="shared" si="15"/>
        <v>38269.7625</v>
      </c>
      <c r="N24" s="285"/>
      <c r="O24" s="285">
        <f>SUM($H$4*0.2)*N24</f>
        <v>0</v>
      </c>
      <c r="P24" s="285"/>
      <c r="Q24" s="285">
        <f>$H$4*0.2*P24</f>
        <v>0</v>
      </c>
      <c r="R24" s="319"/>
      <c r="S24" s="285">
        <f>$H$4*0.3*R24</f>
        <v>0</v>
      </c>
      <c r="T24" s="285"/>
      <c r="U24" s="285">
        <f t="shared" si="6"/>
        <v>0</v>
      </c>
      <c r="V24" s="285"/>
      <c r="W24" s="285">
        <f>SUM($H$4*H24/168*24)/6*V24</f>
        <v>0</v>
      </c>
      <c r="X24" s="285"/>
      <c r="Y24" s="285">
        <f>SUM($H$4*H24*I24*0.5/168*8)*X24</f>
        <v>0</v>
      </c>
      <c r="Z24" s="285">
        <f>SUM(J24*0.1)</f>
        <v>3061.581</v>
      </c>
      <c r="AA24" s="319">
        <f>SUM(L24,O24,Q24,S24,W24,U24,Z24,Y24)</f>
        <v>10715.5335</v>
      </c>
      <c r="AB24" s="289">
        <f t="shared" si="16"/>
        <v>41331.3435</v>
      </c>
      <c r="AC24" s="319">
        <f t="shared" si="18"/>
        <v>495976.122</v>
      </c>
      <c r="AD24" s="329">
        <v>0.5</v>
      </c>
      <c r="AE24" s="328">
        <f>SUM(($H$4*H24+(($H$4*H24*K24)/100))*AD24)</f>
        <v>38269.7625</v>
      </c>
    </row>
    <row r="25" ht="20.1" customHeight="1" spans="1:31">
      <c r="A25" s="279"/>
      <c r="B25" s="278" t="s">
        <v>200</v>
      </c>
      <c r="C25" s="285"/>
      <c r="D25" s="285"/>
      <c r="E25" s="285"/>
      <c r="F25" s="285"/>
      <c r="G25" s="285"/>
      <c r="H25" s="285"/>
      <c r="I25" s="278">
        <f t="shared" ref="I25:AE25" si="19">SUM(I24:I24)</f>
        <v>0.5</v>
      </c>
      <c r="J25" s="289">
        <f t="shared" si="19"/>
        <v>30615.81</v>
      </c>
      <c r="K25" s="278">
        <f t="shared" si="19"/>
        <v>25</v>
      </c>
      <c r="L25" s="341">
        <f t="shared" si="19"/>
        <v>7653.9525</v>
      </c>
      <c r="M25" s="289">
        <f t="shared" si="19"/>
        <v>38269.7625</v>
      </c>
      <c r="N25" s="278">
        <f t="shared" si="19"/>
        <v>0</v>
      </c>
      <c r="O25" s="278">
        <f t="shared" si="19"/>
        <v>0</v>
      </c>
      <c r="P25" s="278">
        <f t="shared" si="19"/>
        <v>0</v>
      </c>
      <c r="Q25" s="278">
        <f t="shared" si="19"/>
        <v>0</v>
      </c>
      <c r="R25" s="278">
        <f t="shared" si="19"/>
        <v>0</v>
      </c>
      <c r="S25" s="278">
        <f t="shared" si="19"/>
        <v>0</v>
      </c>
      <c r="T25" s="278">
        <f t="shared" si="19"/>
        <v>0</v>
      </c>
      <c r="U25" s="278">
        <f t="shared" si="19"/>
        <v>0</v>
      </c>
      <c r="V25" s="278">
        <f t="shared" si="19"/>
        <v>0</v>
      </c>
      <c r="W25" s="278">
        <f t="shared" si="19"/>
        <v>0</v>
      </c>
      <c r="X25" s="278">
        <f t="shared" si="19"/>
        <v>0</v>
      </c>
      <c r="Y25" s="278">
        <f t="shared" si="19"/>
        <v>0</v>
      </c>
      <c r="Z25" s="289">
        <f t="shared" si="19"/>
        <v>3061.581</v>
      </c>
      <c r="AA25" s="289">
        <f t="shared" si="19"/>
        <v>10715.5335</v>
      </c>
      <c r="AB25" s="289">
        <f t="shared" si="16"/>
        <v>41331.3435</v>
      </c>
      <c r="AC25" s="319">
        <f t="shared" si="18"/>
        <v>495976.122</v>
      </c>
      <c r="AD25" s="278">
        <f t="shared" si="19"/>
        <v>0.5</v>
      </c>
      <c r="AE25" s="289">
        <f t="shared" si="19"/>
        <v>38269.7625</v>
      </c>
    </row>
    <row r="26" s="267" customFormat="1" ht="20.1" customHeight="1" spans="1:30">
      <c r="A26" s="278"/>
      <c r="B26" s="278" t="s">
        <v>201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319">
        <f t="shared" si="15"/>
        <v>0</v>
      </c>
      <c r="N26" s="278"/>
      <c r="O26" s="278"/>
      <c r="P26" s="278"/>
      <c r="Q26" s="278"/>
      <c r="R26" s="278"/>
      <c r="S26" s="278"/>
      <c r="T26" s="278"/>
      <c r="U26" s="278">
        <f t="shared" si="6"/>
        <v>0</v>
      </c>
      <c r="V26" s="278"/>
      <c r="W26" s="278"/>
      <c r="X26" s="278"/>
      <c r="Y26" s="278"/>
      <c r="Z26" s="285"/>
      <c r="AA26" s="278"/>
      <c r="AB26" s="289">
        <f t="shared" si="16"/>
        <v>0</v>
      </c>
      <c r="AC26" s="319">
        <f t="shared" si="18"/>
        <v>0</v>
      </c>
      <c r="AD26" s="343"/>
    </row>
    <row r="27" ht="38.25" customHeight="1" spans="1:31">
      <c r="A27" s="279">
        <v>1</v>
      </c>
      <c r="B27" s="280" t="s">
        <v>202</v>
      </c>
      <c r="C27" s="280" t="s">
        <v>203</v>
      </c>
      <c r="D27" s="280" t="s">
        <v>69</v>
      </c>
      <c r="E27" s="280" t="s">
        <v>204</v>
      </c>
      <c r="F27" s="280"/>
      <c r="G27" s="280" t="s">
        <v>130</v>
      </c>
      <c r="H27" s="278">
        <v>2.94</v>
      </c>
      <c r="I27" s="280">
        <v>1</v>
      </c>
      <c r="J27" s="319">
        <f>$H$4*H27*I27</f>
        <v>52029.18</v>
      </c>
      <c r="K27" s="285"/>
      <c r="L27" s="319">
        <f>SUM(J27*K27)/100</f>
        <v>0</v>
      </c>
      <c r="M27" s="319">
        <f t="shared" si="15"/>
        <v>52029.18</v>
      </c>
      <c r="N27" s="285"/>
      <c r="O27" s="285">
        <f>SUM($H$4*0.2)*N27</f>
        <v>0</v>
      </c>
      <c r="P27" s="285"/>
      <c r="Q27" s="285">
        <f>$H$4*0.2*P27</f>
        <v>0</v>
      </c>
      <c r="R27" s="319"/>
      <c r="S27" s="285">
        <f>$H$4*0.3*R27</f>
        <v>0</v>
      </c>
      <c r="T27" s="285"/>
      <c r="U27" s="278">
        <f t="shared" si="6"/>
        <v>0</v>
      </c>
      <c r="V27" s="285"/>
      <c r="W27" s="285">
        <f>SUM($H$4*H27/168*24)/6*V27</f>
        <v>0</v>
      </c>
      <c r="X27" s="285"/>
      <c r="Y27" s="285">
        <f>SUM($H$4*H27*I27*0.5/168*8)*X27</f>
        <v>0</v>
      </c>
      <c r="Z27" s="285">
        <f>SUM(J27*0.1)</f>
        <v>5202.918</v>
      </c>
      <c r="AA27" s="319">
        <f>SUM(L27,O27,Q27,S27,W27,U27,Z27,Y27)</f>
        <v>5202.918</v>
      </c>
      <c r="AB27" s="289">
        <f t="shared" si="16"/>
        <v>57232.098</v>
      </c>
      <c r="AC27" s="319">
        <f t="shared" si="18"/>
        <v>686785.176</v>
      </c>
      <c r="AD27" s="329"/>
      <c r="AE27" s="328">
        <f>SUM(($H$4*H27+(($H$4*H27*K27)/100))*AD27)</f>
        <v>0</v>
      </c>
    </row>
    <row r="28" s="267" customFormat="1" ht="38.25" customHeight="1" spans="1:31">
      <c r="A28" s="278"/>
      <c r="B28" s="278" t="s">
        <v>205</v>
      </c>
      <c r="C28" s="278"/>
      <c r="D28" s="278"/>
      <c r="E28" s="278"/>
      <c r="F28" s="278"/>
      <c r="G28" s="278"/>
      <c r="H28" s="278"/>
      <c r="I28" s="278">
        <f t="shared" ref="I28:AE28" si="20">SUM(I27:I27)</f>
        <v>1</v>
      </c>
      <c r="J28" s="278">
        <f t="shared" si="20"/>
        <v>52029.18</v>
      </c>
      <c r="K28" s="278">
        <f t="shared" si="20"/>
        <v>0</v>
      </c>
      <c r="L28" s="278">
        <f t="shared" si="20"/>
        <v>0</v>
      </c>
      <c r="M28" s="278">
        <f t="shared" si="20"/>
        <v>52029.18</v>
      </c>
      <c r="N28" s="278">
        <f t="shared" si="20"/>
        <v>0</v>
      </c>
      <c r="O28" s="278">
        <f t="shared" si="20"/>
        <v>0</v>
      </c>
      <c r="P28" s="278">
        <f t="shared" si="20"/>
        <v>0</v>
      </c>
      <c r="Q28" s="278">
        <f t="shared" si="20"/>
        <v>0</v>
      </c>
      <c r="R28" s="278">
        <f t="shared" si="20"/>
        <v>0</v>
      </c>
      <c r="S28" s="278">
        <f t="shared" si="20"/>
        <v>0</v>
      </c>
      <c r="T28" s="278">
        <f t="shared" si="20"/>
        <v>0</v>
      </c>
      <c r="U28" s="278">
        <f t="shared" si="20"/>
        <v>0</v>
      </c>
      <c r="V28" s="278">
        <f t="shared" si="20"/>
        <v>0</v>
      </c>
      <c r="W28" s="278">
        <f t="shared" si="20"/>
        <v>0</v>
      </c>
      <c r="X28" s="278">
        <f t="shared" si="20"/>
        <v>0</v>
      </c>
      <c r="Y28" s="278">
        <f t="shared" si="20"/>
        <v>0</v>
      </c>
      <c r="Z28" s="278">
        <f t="shared" si="20"/>
        <v>5202.918</v>
      </c>
      <c r="AA28" s="278">
        <f t="shared" si="20"/>
        <v>5202.918</v>
      </c>
      <c r="AB28" s="289">
        <f t="shared" si="16"/>
        <v>57232.098</v>
      </c>
      <c r="AC28" s="319">
        <f t="shared" si="18"/>
        <v>686785.176</v>
      </c>
      <c r="AD28" s="278">
        <f t="shared" si="20"/>
        <v>0</v>
      </c>
      <c r="AE28" s="278">
        <f t="shared" si="20"/>
        <v>0</v>
      </c>
    </row>
    <row r="29" ht="36.75" customHeight="1" spans="1:31">
      <c r="A29" s="279">
        <v>1</v>
      </c>
      <c r="B29" s="278" t="s">
        <v>206</v>
      </c>
      <c r="C29" s="278" t="s">
        <v>207</v>
      </c>
      <c r="D29" s="278" t="s">
        <v>180</v>
      </c>
      <c r="E29" s="278">
        <v>2</v>
      </c>
      <c r="F29" s="278"/>
      <c r="G29" s="278"/>
      <c r="H29" s="278">
        <v>2.81</v>
      </c>
      <c r="I29" s="285">
        <v>1</v>
      </c>
      <c r="J29" s="319">
        <f t="shared" ref="J29:J35" si="21">$H$4*H29*I29</f>
        <v>49728.57</v>
      </c>
      <c r="K29" s="285"/>
      <c r="L29" s="319">
        <f t="shared" ref="L29:L35" si="22">SUM(J29*K29)/100</f>
        <v>0</v>
      </c>
      <c r="M29" s="319">
        <f t="shared" si="15"/>
        <v>49728.57</v>
      </c>
      <c r="N29" s="285"/>
      <c r="O29" s="285">
        <f t="shared" ref="O29:O35" si="23">SUM($H$4*0.2)*N29</f>
        <v>0</v>
      </c>
      <c r="P29" s="285">
        <v>1</v>
      </c>
      <c r="Q29" s="285">
        <f t="shared" ref="Q29:Q35" si="24">$H$4*0.2*P29</f>
        <v>3539.4</v>
      </c>
      <c r="R29" s="319"/>
      <c r="S29" s="285">
        <f>$H$4*0.3*R29</f>
        <v>0</v>
      </c>
      <c r="T29" s="285"/>
      <c r="U29" s="285">
        <f t="shared" si="6"/>
        <v>0</v>
      </c>
      <c r="V29" s="285"/>
      <c r="W29" s="285">
        <f>SUM($H$4*H29/168*24)/6*V29</f>
        <v>0</v>
      </c>
      <c r="X29" s="285"/>
      <c r="Y29" s="285">
        <f t="shared" ref="Y29:Y35" si="25">SUM($H$4*H29*I29*0.5/168*8)*X29</f>
        <v>0</v>
      </c>
      <c r="Z29" s="285">
        <f t="shared" ref="Z29:Z35" si="26">SUM(J29*0.1)</f>
        <v>4972.857</v>
      </c>
      <c r="AA29" s="319">
        <f t="shared" ref="AA29:AA35" si="27">SUM(L29,O29,Q29,S29,W29,U29,Z29,Y29)</f>
        <v>8512.257</v>
      </c>
      <c r="AB29" s="289">
        <f t="shared" si="16"/>
        <v>58240.827</v>
      </c>
      <c r="AC29" s="319">
        <f t="shared" si="18"/>
        <v>698889.924</v>
      </c>
      <c r="AD29" s="329"/>
      <c r="AE29" s="328">
        <f t="shared" ref="AE29:AE35" si="28">SUM(($H$4*H29+(($H$4*H29*K29)/100))*AD29)</f>
        <v>0</v>
      </c>
    </row>
    <row r="30" ht="34.5" customHeight="1" spans="1:31">
      <c r="A30" s="279">
        <v>2</v>
      </c>
      <c r="B30" s="278" t="s">
        <v>208</v>
      </c>
      <c r="C30" s="278" t="s">
        <v>207</v>
      </c>
      <c r="D30" s="278" t="s">
        <v>180</v>
      </c>
      <c r="E30" s="278">
        <v>2</v>
      </c>
      <c r="F30" s="278"/>
      <c r="G30" s="278"/>
      <c r="H30" s="278">
        <v>2.81</v>
      </c>
      <c r="I30" s="285">
        <v>1</v>
      </c>
      <c r="J30" s="319">
        <f t="shared" si="21"/>
        <v>49728.57</v>
      </c>
      <c r="K30" s="285"/>
      <c r="L30" s="319">
        <f t="shared" si="22"/>
        <v>0</v>
      </c>
      <c r="M30" s="319">
        <f t="shared" si="15"/>
        <v>49728.57</v>
      </c>
      <c r="N30" s="285"/>
      <c r="O30" s="285">
        <f t="shared" si="23"/>
        <v>0</v>
      </c>
      <c r="P30" s="285">
        <v>1</v>
      </c>
      <c r="Q30" s="285">
        <f t="shared" si="24"/>
        <v>3539.4</v>
      </c>
      <c r="R30" s="319">
        <v>1</v>
      </c>
      <c r="S30" s="285">
        <f t="shared" ref="S30:S35" si="29">$H$4*0.3*R30</f>
        <v>5309.1</v>
      </c>
      <c r="T30" s="285"/>
      <c r="U30" s="285">
        <f t="shared" si="6"/>
        <v>0</v>
      </c>
      <c r="V30" s="285"/>
      <c r="W30" s="285">
        <f>SUM($H$4*H30/168*24)/6*V30</f>
        <v>0</v>
      </c>
      <c r="X30" s="285"/>
      <c r="Y30" s="285">
        <f t="shared" si="25"/>
        <v>0</v>
      </c>
      <c r="Z30" s="285">
        <f t="shared" si="26"/>
        <v>4972.857</v>
      </c>
      <c r="AA30" s="319">
        <f t="shared" si="27"/>
        <v>13821.357</v>
      </c>
      <c r="AB30" s="289">
        <f t="shared" si="16"/>
        <v>63549.927</v>
      </c>
      <c r="AC30" s="319">
        <f t="shared" si="18"/>
        <v>762599.124</v>
      </c>
      <c r="AD30" s="329"/>
      <c r="AE30" s="328">
        <f t="shared" si="28"/>
        <v>0</v>
      </c>
    </row>
    <row r="31" ht="32.25" customHeight="1" spans="1:31">
      <c r="A31" s="279">
        <v>3</v>
      </c>
      <c r="B31" s="335" t="s">
        <v>209</v>
      </c>
      <c r="C31" s="278" t="s">
        <v>210</v>
      </c>
      <c r="D31" s="278" t="s">
        <v>180</v>
      </c>
      <c r="E31" s="278">
        <v>2</v>
      </c>
      <c r="F31" s="278"/>
      <c r="G31" s="278"/>
      <c r="H31" s="278">
        <v>2.81</v>
      </c>
      <c r="I31" s="285">
        <v>1</v>
      </c>
      <c r="J31" s="319">
        <f t="shared" si="21"/>
        <v>49728.57</v>
      </c>
      <c r="K31" s="285"/>
      <c r="L31" s="319">
        <f t="shared" si="22"/>
        <v>0</v>
      </c>
      <c r="M31" s="319">
        <f t="shared" si="15"/>
        <v>49728.57</v>
      </c>
      <c r="N31" s="285"/>
      <c r="O31" s="285">
        <f t="shared" si="23"/>
        <v>0</v>
      </c>
      <c r="P31" s="285"/>
      <c r="Q31" s="285">
        <f t="shared" si="24"/>
        <v>0</v>
      </c>
      <c r="R31" s="319"/>
      <c r="S31" s="285">
        <f t="shared" si="29"/>
        <v>0</v>
      </c>
      <c r="T31" s="285"/>
      <c r="U31" s="285">
        <f t="shared" si="6"/>
        <v>0</v>
      </c>
      <c r="V31" s="285">
        <v>3</v>
      </c>
      <c r="W31" s="285">
        <f>SUM($H$4*H31/168*24*0.5)/4*V31</f>
        <v>2664.03053571429</v>
      </c>
      <c r="X31" s="285">
        <v>15</v>
      </c>
      <c r="Y31" s="285">
        <f t="shared" si="25"/>
        <v>17760.2035714286</v>
      </c>
      <c r="Z31" s="285">
        <f t="shared" si="26"/>
        <v>4972.857</v>
      </c>
      <c r="AA31" s="319">
        <f t="shared" si="27"/>
        <v>25397.0911071429</v>
      </c>
      <c r="AB31" s="289">
        <f t="shared" si="16"/>
        <v>75125.6611071429</v>
      </c>
      <c r="AC31" s="319">
        <f t="shared" si="18"/>
        <v>901507.933285714</v>
      </c>
      <c r="AD31" s="329"/>
      <c r="AE31" s="328">
        <f t="shared" si="28"/>
        <v>0</v>
      </c>
    </row>
    <row r="32" ht="33" customHeight="1" spans="1:31">
      <c r="A32" s="279">
        <v>4</v>
      </c>
      <c r="B32" s="278" t="s">
        <v>211</v>
      </c>
      <c r="C32" s="278" t="s">
        <v>210</v>
      </c>
      <c r="D32" s="278" t="s">
        <v>180</v>
      </c>
      <c r="E32" s="278">
        <v>2</v>
      </c>
      <c r="F32" s="278"/>
      <c r="G32" s="278"/>
      <c r="H32" s="278">
        <v>2.81</v>
      </c>
      <c r="I32" s="285">
        <v>1</v>
      </c>
      <c r="J32" s="319">
        <f t="shared" si="21"/>
        <v>49728.57</v>
      </c>
      <c r="K32" s="285"/>
      <c r="L32" s="319">
        <f t="shared" si="22"/>
        <v>0</v>
      </c>
      <c r="M32" s="319">
        <f t="shared" si="15"/>
        <v>49728.57</v>
      </c>
      <c r="N32" s="285"/>
      <c r="O32" s="285">
        <f t="shared" si="23"/>
        <v>0</v>
      </c>
      <c r="P32" s="285"/>
      <c r="Q32" s="285">
        <f t="shared" si="24"/>
        <v>0</v>
      </c>
      <c r="R32" s="319"/>
      <c r="S32" s="285">
        <f t="shared" si="29"/>
        <v>0</v>
      </c>
      <c r="T32" s="285"/>
      <c r="U32" s="285">
        <f t="shared" si="6"/>
        <v>0</v>
      </c>
      <c r="V32" s="285"/>
      <c r="W32" s="285">
        <f>SUM($H$4*H32/168*24)/6*V32</f>
        <v>0</v>
      </c>
      <c r="X32" s="285">
        <v>15</v>
      </c>
      <c r="Y32" s="285">
        <f t="shared" si="25"/>
        <v>17760.2035714286</v>
      </c>
      <c r="Z32" s="285">
        <f t="shared" si="26"/>
        <v>4972.857</v>
      </c>
      <c r="AA32" s="319">
        <f t="shared" si="27"/>
        <v>22733.0605714286</v>
      </c>
      <c r="AB32" s="289">
        <f t="shared" si="16"/>
        <v>72461.6305714286</v>
      </c>
      <c r="AC32" s="319">
        <f t="shared" si="18"/>
        <v>869539.566857143</v>
      </c>
      <c r="AD32" s="329"/>
      <c r="AE32" s="328">
        <f t="shared" si="28"/>
        <v>0</v>
      </c>
    </row>
    <row r="33" ht="40.5" customHeight="1" spans="1:31">
      <c r="A33" s="279">
        <v>5</v>
      </c>
      <c r="B33" s="278" t="s">
        <v>114</v>
      </c>
      <c r="C33" s="336" t="s">
        <v>212</v>
      </c>
      <c r="D33" s="278" t="s">
        <v>69</v>
      </c>
      <c r="E33" s="278">
        <v>3</v>
      </c>
      <c r="F33" s="278"/>
      <c r="G33" s="278"/>
      <c r="H33" s="278">
        <v>2.84</v>
      </c>
      <c r="I33" s="285">
        <v>1</v>
      </c>
      <c r="J33" s="319">
        <f t="shared" si="21"/>
        <v>50259.48</v>
      </c>
      <c r="K33" s="285"/>
      <c r="L33" s="319">
        <f t="shared" si="22"/>
        <v>0</v>
      </c>
      <c r="M33" s="319">
        <f t="shared" si="15"/>
        <v>50259.48</v>
      </c>
      <c r="N33" s="285"/>
      <c r="O33" s="285">
        <f t="shared" si="23"/>
        <v>0</v>
      </c>
      <c r="P33" s="285"/>
      <c r="Q33" s="285">
        <f t="shared" si="24"/>
        <v>0</v>
      </c>
      <c r="R33" s="319"/>
      <c r="S33" s="285">
        <f t="shared" si="29"/>
        <v>0</v>
      </c>
      <c r="T33" s="285"/>
      <c r="U33" s="285">
        <f t="shared" si="6"/>
        <v>0</v>
      </c>
      <c r="V33" s="285"/>
      <c r="W33" s="285">
        <f>SUM($H$4*H33/168*24)/6*V33</f>
        <v>0</v>
      </c>
      <c r="X33" s="285"/>
      <c r="Y33" s="285">
        <f t="shared" si="25"/>
        <v>0</v>
      </c>
      <c r="Z33" s="285">
        <f t="shared" si="26"/>
        <v>5025.948</v>
      </c>
      <c r="AA33" s="319">
        <f t="shared" si="27"/>
        <v>5025.948</v>
      </c>
      <c r="AB33" s="289">
        <f t="shared" si="16"/>
        <v>55285.428</v>
      </c>
      <c r="AC33" s="319">
        <f t="shared" si="18"/>
        <v>663425.136</v>
      </c>
      <c r="AD33" s="329"/>
      <c r="AE33" s="328">
        <f t="shared" si="28"/>
        <v>0</v>
      </c>
    </row>
    <row r="34" ht="40.5" customHeight="1" spans="1:31">
      <c r="A34" s="279"/>
      <c r="B34" s="278" t="s">
        <v>213</v>
      </c>
      <c r="C34" s="336" t="s">
        <v>214</v>
      </c>
      <c r="D34" s="278" t="s">
        <v>215</v>
      </c>
      <c r="E34" s="278">
        <v>2</v>
      </c>
      <c r="F34" s="278"/>
      <c r="G34" s="278"/>
      <c r="H34" s="278">
        <v>2.81</v>
      </c>
      <c r="I34" s="285">
        <v>1</v>
      </c>
      <c r="J34" s="319">
        <f t="shared" si="21"/>
        <v>49728.57</v>
      </c>
      <c r="K34" s="285"/>
      <c r="L34" s="319">
        <f t="shared" si="22"/>
        <v>0</v>
      </c>
      <c r="M34" s="319">
        <f t="shared" si="15"/>
        <v>49728.57</v>
      </c>
      <c r="N34" s="285"/>
      <c r="O34" s="285">
        <f t="shared" si="23"/>
        <v>0</v>
      </c>
      <c r="P34" s="285"/>
      <c r="Q34" s="285">
        <f t="shared" si="24"/>
        <v>0</v>
      </c>
      <c r="R34" s="319"/>
      <c r="S34" s="285">
        <f t="shared" si="29"/>
        <v>0</v>
      </c>
      <c r="T34" s="285"/>
      <c r="U34" s="285">
        <f t="shared" si="6"/>
        <v>0</v>
      </c>
      <c r="V34" s="285"/>
      <c r="W34" s="285">
        <f>SUM($H$4*H34/168*24)/6*V34</f>
        <v>0</v>
      </c>
      <c r="X34" s="285"/>
      <c r="Y34" s="285">
        <f t="shared" si="25"/>
        <v>0</v>
      </c>
      <c r="Z34" s="285">
        <f t="shared" si="26"/>
        <v>4972.857</v>
      </c>
      <c r="AA34" s="319">
        <f t="shared" si="27"/>
        <v>4972.857</v>
      </c>
      <c r="AB34" s="289">
        <f t="shared" si="16"/>
        <v>54701.427</v>
      </c>
      <c r="AC34" s="319">
        <f t="shared" si="18"/>
        <v>656417.124</v>
      </c>
      <c r="AD34" s="329"/>
      <c r="AE34" s="328">
        <f t="shared" si="28"/>
        <v>0</v>
      </c>
    </row>
    <row r="35" ht="40.5" customHeight="1" spans="1:31">
      <c r="A35" s="279">
        <v>6</v>
      </c>
      <c r="B35" s="278" t="s">
        <v>216</v>
      </c>
      <c r="C35" s="336" t="s">
        <v>210</v>
      </c>
      <c r="D35" s="278" t="s">
        <v>180</v>
      </c>
      <c r="E35" s="278">
        <v>2</v>
      </c>
      <c r="F35" s="278"/>
      <c r="G35" s="278"/>
      <c r="H35" s="278">
        <v>2.81</v>
      </c>
      <c r="I35" s="285">
        <v>1</v>
      </c>
      <c r="J35" s="319">
        <f t="shared" si="21"/>
        <v>49728.57</v>
      </c>
      <c r="K35" s="285"/>
      <c r="L35" s="319">
        <f t="shared" si="22"/>
        <v>0</v>
      </c>
      <c r="M35" s="319">
        <f t="shared" si="15"/>
        <v>49728.57</v>
      </c>
      <c r="N35" s="285"/>
      <c r="O35" s="285">
        <f t="shared" si="23"/>
        <v>0</v>
      </c>
      <c r="P35" s="285"/>
      <c r="Q35" s="285">
        <f t="shared" si="24"/>
        <v>0</v>
      </c>
      <c r="R35" s="319"/>
      <c r="S35" s="285">
        <f t="shared" si="29"/>
        <v>0</v>
      </c>
      <c r="T35" s="285"/>
      <c r="U35" s="285">
        <f t="shared" si="6"/>
        <v>0</v>
      </c>
      <c r="V35" s="285"/>
      <c r="W35" s="285">
        <f>SUM($H$4*H35/168*24)/6*V35</f>
        <v>0</v>
      </c>
      <c r="X35" s="285"/>
      <c r="Y35" s="285">
        <f t="shared" si="25"/>
        <v>0</v>
      </c>
      <c r="Z35" s="285">
        <f t="shared" si="26"/>
        <v>4972.857</v>
      </c>
      <c r="AA35" s="319">
        <f t="shared" si="27"/>
        <v>4972.857</v>
      </c>
      <c r="AB35" s="289">
        <f t="shared" si="16"/>
        <v>54701.427</v>
      </c>
      <c r="AC35" s="319">
        <f t="shared" si="18"/>
        <v>656417.124</v>
      </c>
      <c r="AD35" s="329"/>
      <c r="AE35" s="328">
        <f t="shared" si="28"/>
        <v>0</v>
      </c>
    </row>
    <row r="36" ht="32.25" customHeight="1" spans="1:31">
      <c r="A36" s="279"/>
      <c r="B36" s="278" t="s">
        <v>217</v>
      </c>
      <c r="C36" s="285"/>
      <c r="D36" s="285"/>
      <c r="E36" s="285"/>
      <c r="F36" s="285"/>
      <c r="G36" s="285"/>
      <c r="H36" s="285"/>
      <c r="I36" s="278">
        <f t="shared" ref="I36:AA36" si="30">SUM(I29:I35)</f>
        <v>7</v>
      </c>
      <c r="J36" s="278">
        <f t="shared" si="30"/>
        <v>348630.9</v>
      </c>
      <c r="K36" s="278">
        <f t="shared" si="30"/>
        <v>0</v>
      </c>
      <c r="L36" s="278">
        <f t="shared" si="30"/>
        <v>0</v>
      </c>
      <c r="M36" s="278">
        <f t="shared" si="30"/>
        <v>348630.9</v>
      </c>
      <c r="N36" s="278">
        <f t="shared" si="30"/>
        <v>0</v>
      </c>
      <c r="O36" s="278">
        <f t="shared" si="30"/>
        <v>0</v>
      </c>
      <c r="P36" s="278">
        <f t="shared" si="30"/>
        <v>2</v>
      </c>
      <c r="Q36" s="278">
        <f t="shared" si="30"/>
        <v>7078.8</v>
      </c>
      <c r="R36" s="278">
        <f t="shared" si="30"/>
        <v>1</v>
      </c>
      <c r="S36" s="278">
        <f t="shared" si="30"/>
        <v>5309.1</v>
      </c>
      <c r="T36" s="278">
        <f t="shared" si="30"/>
        <v>0</v>
      </c>
      <c r="U36" s="278">
        <f t="shared" si="30"/>
        <v>0</v>
      </c>
      <c r="V36" s="278">
        <f t="shared" si="30"/>
        <v>3</v>
      </c>
      <c r="W36" s="278">
        <f t="shared" si="30"/>
        <v>2664.03053571429</v>
      </c>
      <c r="X36" s="278">
        <f t="shared" si="30"/>
        <v>30</v>
      </c>
      <c r="Y36" s="289">
        <f t="shared" si="30"/>
        <v>35520.4071428571</v>
      </c>
      <c r="Z36" s="289">
        <f t="shared" si="30"/>
        <v>34863.09</v>
      </c>
      <c r="AA36" s="289">
        <f t="shared" si="30"/>
        <v>85435.4276785714</v>
      </c>
      <c r="AB36" s="289">
        <f t="shared" si="16"/>
        <v>434066.327678571</v>
      </c>
      <c r="AC36" s="319">
        <f t="shared" si="18"/>
        <v>5208795.93214286</v>
      </c>
      <c r="AD36" s="278">
        <f>SUM(AD29:AD35)</f>
        <v>0</v>
      </c>
      <c r="AE36" s="278">
        <f>SUM(AE29:AE35)</f>
        <v>0</v>
      </c>
    </row>
    <row r="37" ht="20.1" customHeight="1" spans="1:31">
      <c r="A37" s="290"/>
      <c r="B37" s="291" t="s">
        <v>218</v>
      </c>
      <c r="C37" s="290"/>
      <c r="D37" s="290"/>
      <c r="E37" s="290"/>
      <c r="F37" s="290"/>
      <c r="G37" s="290"/>
      <c r="H37" s="290"/>
      <c r="I37" s="322">
        <f t="shared" ref="I37:AA37" si="31">I16+I22+I25+I28+I36</f>
        <v>17.5</v>
      </c>
      <c r="J37" s="322">
        <f t="shared" si="31"/>
        <v>1141544.985</v>
      </c>
      <c r="K37" s="322">
        <f t="shared" si="31"/>
        <v>225</v>
      </c>
      <c r="L37" s="322">
        <f t="shared" si="31"/>
        <v>170399.98875</v>
      </c>
      <c r="M37" s="322">
        <f t="shared" si="31"/>
        <v>1311944.97375</v>
      </c>
      <c r="N37" s="322">
        <f t="shared" si="31"/>
        <v>0</v>
      </c>
      <c r="O37" s="322">
        <f t="shared" si="31"/>
        <v>0</v>
      </c>
      <c r="P37" s="322">
        <f t="shared" si="31"/>
        <v>2</v>
      </c>
      <c r="Q37" s="322">
        <f t="shared" si="31"/>
        <v>7078.8</v>
      </c>
      <c r="R37" s="322">
        <f t="shared" si="31"/>
        <v>1</v>
      </c>
      <c r="S37" s="322">
        <f t="shared" si="31"/>
        <v>5309.1</v>
      </c>
      <c r="T37" s="322">
        <f t="shared" si="31"/>
        <v>0</v>
      </c>
      <c r="U37" s="322">
        <f t="shared" si="31"/>
        <v>0</v>
      </c>
      <c r="V37" s="322">
        <f t="shared" si="31"/>
        <v>3</v>
      </c>
      <c r="W37" s="322">
        <f t="shared" si="31"/>
        <v>2664.03053571429</v>
      </c>
      <c r="X37" s="322">
        <f t="shared" si="31"/>
        <v>30</v>
      </c>
      <c r="Y37" s="344">
        <f t="shared" si="31"/>
        <v>35520.4071428571</v>
      </c>
      <c r="Z37" s="344">
        <f t="shared" si="31"/>
        <v>114154.4985</v>
      </c>
      <c r="AA37" s="344">
        <f t="shared" si="31"/>
        <v>335126.824928571</v>
      </c>
      <c r="AB37" s="289">
        <f t="shared" si="16"/>
        <v>1476671.80992857</v>
      </c>
      <c r="AC37" s="319">
        <f t="shared" si="18"/>
        <v>17720061.7191429</v>
      </c>
      <c r="AD37" s="322">
        <f>AD16+AD22+AD25+AD28+AD36</f>
        <v>8.5</v>
      </c>
      <c r="AE37" s="344">
        <f>AE16+AE22+AE25+AE28+AE36</f>
        <v>911284.89375</v>
      </c>
    </row>
    <row r="38" ht="18.75" spans="1:28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323"/>
    </row>
    <row r="39" ht="18.75" spans="1:30">
      <c r="A39" s="292"/>
      <c r="B39" s="293"/>
      <c r="C39" s="294" t="s">
        <v>145</v>
      </c>
      <c r="D39" s="294"/>
      <c r="E39" s="294"/>
      <c r="F39" s="294"/>
      <c r="G39" s="295"/>
      <c r="H39" s="296" t="s">
        <v>146</v>
      </c>
      <c r="I39" s="294"/>
      <c r="J39" s="294"/>
      <c r="K39" s="294"/>
      <c r="L39" s="294"/>
      <c r="M39" s="294"/>
      <c r="N39" s="294"/>
      <c r="O39" s="293"/>
      <c r="P39" s="294" t="s">
        <v>143</v>
      </c>
      <c r="Q39" s="294"/>
      <c r="R39" s="293"/>
      <c r="S39" s="295"/>
      <c r="T39" s="295"/>
      <c r="U39" s="295"/>
      <c r="V39" s="295"/>
      <c r="W39" s="295" t="s">
        <v>144</v>
      </c>
      <c r="X39" s="293"/>
      <c r="Y39" s="293"/>
      <c r="Z39" s="293"/>
      <c r="AA39" s="293"/>
      <c r="AB39" s="293"/>
      <c r="AC39" s="293"/>
      <c r="AD39" s="330"/>
    </row>
    <row r="40" ht="18.75" spans="1:30">
      <c r="A40" s="292"/>
      <c r="B40" s="293"/>
      <c r="C40" s="294"/>
      <c r="D40" s="294"/>
      <c r="E40" s="294"/>
      <c r="F40" s="294"/>
      <c r="G40" s="295"/>
      <c r="H40" s="296"/>
      <c r="I40" s="294"/>
      <c r="J40" s="294"/>
      <c r="K40" s="294"/>
      <c r="L40" s="294"/>
      <c r="M40" s="294"/>
      <c r="N40" s="294"/>
      <c r="O40" s="293"/>
      <c r="P40" s="294"/>
      <c r="Q40" s="294"/>
      <c r="R40" s="293"/>
      <c r="S40" s="295"/>
      <c r="T40" s="295"/>
      <c r="U40" s="295"/>
      <c r="V40" s="295"/>
      <c r="W40" s="295"/>
      <c r="X40" s="293"/>
      <c r="Y40" s="293"/>
      <c r="Z40" s="293"/>
      <c r="AA40" s="293"/>
      <c r="AB40" s="293"/>
      <c r="AC40" s="293"/>
      <c r="AD40" s="330"/>
    </row>
    <row r="41" ht="18.75" spans="1:30">
      <c r="A41" s="292"/>
      <c r="B41" s="293"/>
      <c r="C41" s="295" t="s">
        <v>149</v>
      </c>
      <c r="D41" s="295"/>
      <c r="E41" s="295"/>
      <c r="F41" s="294"/>
      <c r="G41" s="295"/>
      <c r="H41" s="296" t="s">
        <v>150</v>
      </c>
      <c r="I41" s="294"/>
      <c r="J41" s="294"/>
      <c r="K41" s="294"/>
      <c r="L41" s="294"/>
      <c r="M41" s="294"/>
      <c r="N41" s="294"/>
      <c r="O41" s="293"/>
      <c r="P41" s="294" t="s">
        <v>219</v>
      </c>
      <c r="Q41" s="294"/>
      <c r="R41" s="293"/>
      <c r="S41" s="295"/>
      <c r="T41" s="295"/>
      <c r="U41" s="295"/>
      <c r="V41" s="295"/>
      <c r="W41" s="295" t="s">
        <v>148</v>
      </c>
      <c r="X41" s="293"/>
      <c r="Y41" s="293"/>
      <c r="Z41" s="293"/>
      <c r="AA41" s="293"/>
      <c r="AB41" s="293"/>
      <c r="AC41" s="293"/>
      <c r="AD41" s="330"/>
    </row>
    <row r="42" ht="18.75" spans="1:30">
      <c r="A42" s="292"/>
      <c r="B42" s="293"/>
      <c r="C42" s="295"/>
      <c r="D42" s="295"/>
      <c r="E42" s="295"/>
      <c r="F42" s="294"/>
      <c r="G42" s="295"/>
      <c r="H42" s="296"/>
      <c r="I42" s="294"/>
      <c r="J42" s="294"/>
      <c r="K42" s="294"/>
      <c r="L42" s="294"/>
      <c r="M42" s="294"/>
      <c r="N42" s="294"/>
      <c r="O42" s="293"/>
      <c r="P42" s="294"/>
      <c r="Q42" s="294"/>
      <c r="R42" s="293"/>
      <c r="S42" s="295"/>
      <c r="T42" s="295"/>
      <c r="U42" s="295"/>
      <c r="V42" s="295"/>
      <c r="W42" s="295"/>
      <c r="X42" s="293"/>
      <c r="Y42" s="293"/>
      <c r="Z42" s="293"/>
      <c r="AA42" s="293"/>
      <c r="AB42" s="293"/>
      <c r="AC42" s="293"/>
      <c r="AD42" s="330"/>
    </row>
    <row r="43" ht="18.75" spans="1:30">
      <c r="A43" s="292"/>
      <c r="B43" s="293"/>
      <c r="C43" s="295"/>
      <c r="D43" s="295"/>
      <c r="E43" s="295"/>
      <c r="F43" s="294"/>
      <c r="G43" s="295"/>
      <c r="H43" s="296"/>
      <c r="I43" s="294"/>
      <c r="J43" s="294"/>
      <c r="K43" s="294"/>
      <c r="L43" s="294"/>
      <c r="M43" s="294"/>
      <c r="N43" s="294"/>
      <c r="O43" s="293"/>
      <c r="P43" s="294" t="s">
        <v>220</v>
      </c>
      <c r="Q43" s="294"/>
      <c r="R43" s="293"/>
      <c r="S43" s="295"/>
      <c r="T43" s="295"/>
      <c r="U43" s="295"/>
      <c r="V43" s="295"/>
      <c r="W43" s="295" t="s">
        <v>221</v>
      </c>
      <c r="X43" s="293"/>
      <c r="Y43" s="293"/>
      <c r="Z43" s="293"/>
      <c r="AA43" s="293"/>
      <c r="AB43" s="293"/>
      <c r="AC43" s="293"/>
      <c r="AD43" s="330"/>
    </row>
    <row r="44" ht="18.75" spans="1:30">
      <c r="A44" s="292"/>
      <c r="B44" s="293"/>
      <c r="C44" s="295"/>
      <c r="D44" s="295"/>
      <c r="E44" s="295"/>
      <c r="F44" s="295"/>
      <c r="G44" s="295"/>
      <c r="H44" s="297"/>
      <c r="I44" s="294"/>
      <c r="J44" s="294"/>
      <c r="K44" s="294"/>
      <c r="L44" s="294"/>
      <c r="M44" s="294"/>
      <c r="N44" s="294"/>
      <c r="O44" s="293"/>
      <c r="P44" s="294"/>
      <c r="Q44" s="294"/>
      <c r="R44" s="293"/>
      <c r="S44" s="295"/>
      <c r="T44" s="295"/>
      <c r="U44" s="295"/>
      <c r="V44" s="295"/>
      <c r="W44" s="295"/>
      <c r="X44" s="293"/>
      <c r="Y44" s="293"/>
      <c r="Z44" s="293"/>
      <c r="AA44" s="293"/>
      <c r="AB44" s="293"/>
      <c r="AC44" s="293"/>
      <c r="AD44" s="330"/>
    </row>
    <row r="45" ht="18.75" spans="1:30">
      <c r="A45" s="292"/>
      <c r="B45" s="293"/>
      <c r="C45" s="295" t="s">
        <v>153</v>
      </c>
      <c r="D45" s="295"/>
      <c r="E45" s="295"/>
      <c r="F45" s="294"/>
      <c r="G45" s="295"/>
      <c r="H45" s="296" t="s">
        <v>154</v>
      </c>
      <c r="I45" s="294"/>
      <c r="J45" s="294"/>
      <c r="K45" s="294"/>
      <c r="L45" s="294"/>
      <c r="M45" s="294"/>
      <c r="N45" s="294"/>
      <c r="O45" s="293"/>
      <c r="P45" s="294" t="s">
        <v>151</v>
      </c>
      <c r="Q45" s="294"/>
      <c r="R45" s="293"/>
      <c r="S45" s="295"/>
      <c r="T45" s="295"/>
      <c r="U45" s="295"/>
      <c r="V45" s="295"/>
      <c r="W45" s="295" t="s">
        <v>152</v>
      </c>
      <c r="X45" s="293"/>
      <c r="Y45" s="293"/>
      <c r="Z45" s="293"/>
      <c r="AA45" s="293"/>
      <c r="AB45" s="293"/>
      <c r="AC45" s="293"/>
      <c r="AD45" s="330"/>
    </row>
    <row r="46" ht="18.75" spans="1:30">
      <c r="A46" s="298"/>
      <c r="B46" s="299"/>
      <c r="C46" s="299"/>
      <c r="D46" s="299"/>
      <c r="E46" s="299"/>
      <c r="F46" s="299"/>
      <c r="G46" s="299"/>
      <c r="H46" s="298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300"/>
    </row>
    <row r="47" ht="18.75" spans="1:30">
      <c r="A47" s="298"/>
      <c r="B47" s="299"/>
      <c r="C47" s="299"/>
      <c r="D47" s="299"/>
      <c r="E47" s="299"/>
      <c r="F47" s="299"/>
      <c r="G47" s="299"/>
      <c r="H47" s="298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300"/>
    </row>
    <row r="48" ht="18.75" spans="1:30">
      <c r="A48" s="298"/>
      <c r="B48" s="299"/>
      <c r="C48" s="299"/>
      <c r="D48" s="299"/>
      <c r="E48" s="299"/>
      <c r="F48" s="299"/>
      <c r="G48" s="299"/>
      <c r="H48" s="298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300"/>
    </row>
    <row r="49" ht="18.75" spans="1:30">
      <c r="A49" s="298"/>
      <c r="B49" s="299"/>
      <c r="C49" s="299"/>
      <c r="D49" s="299"/>
      <c r="E49" s="299"/>
      <c r="F49" s="299"/>
      <c r="G49" s="299"/>
      <c r="H49" s="298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300"/>
    </row>
    <row r="50" ht="18.75" spans="1:30">
      <c r="A50" s="298"/>
      <c r="B50" s="299"/>
      <c r="C50" s="299"/>
      <c r="D50" s="299"/>
      <c r="E50" s="299"/>
      <c r="F50" s="299"/>
      <c r="G50" s="299"/>
      <c r="H50" s="298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00"/>
    </row>
    <row r="51" ht="15.75" spans="1:30">
      <c r="A51" s="1"/>
      <c r="B51" s="300"/>
      <c r="C51" s="300"/>
      <c r="D51" s="300"/>
      <c r="E51" s="300"/>
      <c r="F51" s="300"/>
      <c r="G51" s="300"/>
      <c r="H51" s="1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</row>
  </sheetData>
  <mergeCells count="30">
    <mergeCell ref="B1:D1"/>
    <mergeCell ref="B2:L2"/>
    <mergeCell ref="B3:F3"/>
    <mergeCell ref="L3:R3"/>
    <mergeCell ref="J4:L4"/>
    <mergeCell ref="E5:F5"/>
    <mergeCell ref="N5:AA5"/>
    <mergeCell ref="N6:O6"/>
    <mergeCell ref="P6:Q6"/>
    <mergeCell ref="R6:S6"/>
    <mergeCell ref="T6:U6"/>
    <mergeCell ref="V6:W6"/>
    <mergeCell ref="X6:Y6"/>
    <mergeCell ref="P45:Q45"/>
    <mergeCell ref="A5:A7"/>
    <mergeCell ref="B5:B7"/>
    <mergeCell ref="C5:C7"/>
    <mergeCell ref="D5:D7"/>
    <mergeCell ref="E6:E7"/>
    <mergeCell ref="F6:F7"/>
    <mergeCell ref="G5:G7"/>
    <mergeCell ref="H5:H7"/>
    <mergeCell ref="I5:I7"/>
    <mergeCell ref="J5:J7"/>
    <mergeCell ref="M5:M7"/>
    <mergeCell ref="AA6:AA7"/>
    <mergeCell ref="AB5:AB7"/>
    <mergeCell ref="AC5:AC7"/>
    <mergeCell ref="AD5:AE6"/>
    <mergeCell ref="K5:L6"/>
  </mergeCells>
  <pageMargins left="0.708661417322835" right="0.708661417322835" top="0.748031496062992" bottom="0.748031496062992" header="0.31496062992126" footer="0.31496062992126"/>
  <pageSetup paperSize="9" scale="3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5"/>
  <sheetViews>
    <sheetView view="pageBreakPreview" zoomScale="60" zoomScaleNormal="50" workbookViewId="0">
      <pane xSplit="5" ySplit="9" topLeftCell="H16" activePane="bottomRight" state="frozen"/>
      <selection/>
      <selection pane="topRight"/>
      <selection pane="bottomLeft"/>
      <selection pane="bottomRight" activeCell="E18" sqref="E18"/>
    </sheetView>
  </sheetViews>
  <sheetFormatPr defaultColWidth="9" defaultRowHeight="12.75"/>
  <cols>
    <col min="2" max="2" width="29.4285714285714" customWidth="1"/>
    <col min="3" max="3" width="25.4285714285714" customWidth="1"/>
    <col min="4" max="4" width="17" customWidth="1"/>
    <col min="5" max="5" width="11.8571428571429" customWidth="1"/>
    <col min="6" max="6" width="12.7142857142857" customWidth="1"/>
    <col min="7" max="7" width="15.8571428571429" customWidth="1"/>
    <col min="8" max="8" width="10.8571428571429" style="268" customWidth="1"/>
    <col min="9" max="9" width="9.42857142857143" customWidth="1"/>
    <col min="10" max="10" width="18.2857142857143" customWidth="1"/>
    <col min="12" max="13" width="15.1428571428571" customWidth="1"/>
    <col min="14" max="14" width="13.8571428571429" customWidth="1"/>
    <col min="15" max="15" width="18" customWidth="1"/>
    <col min="16" max="16" width="19.8571428571429" customWidth="1"/>
    <col min="17" max="17" width="16.7142857142857" customWidth="1"/>
    <col min="18" max="18" width="16.5714285714286" customWidth="1"/>
    <col min="19" max="19" width="16.2857142857143" customWidth="1"/>
    <col min="21" max="21" width="21.2857142857143" customWidth="1"/>
  </cols>
  <sheetData>
    <row r="1" ht="18" customHeight="1" spans="1:17">
      <c r="A1" s="269"/>
      <c r="B1" s="270" t="s">
        <v>0</v>
      </c>
      <c r="C1" s="270"/>
      <c r="D1" s="270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323"/>
    </row>
    <row r="2" ht="18.75" spans="1:17">
      <c r="A2" s="269"/>
      <c r="B2" s="270" t="s">
        <v>222</v>
      </c>
      <c r="C2" s="270"/>
      <c r="D2" s="270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69"/>
      <c r="P2" s="269"/>
      <c r="Q2" s="323"/>
    </row>
    <row r="3" ht="18.75" spans="1:17">
      <c r="A3" s="269"/>
      <c r="B3" s="272" t="s">
        <v>157</v>
      </c>
      <c r="C3" s="272"/>
      <c r="D3" s="272"/>
      <c r="E3" s="271"/>
      <c r="F3" s="271"/>
      <c r="G3" s="269"/>
      <c r="H3" s="269"/>
      <c r="I3" s="269"/>
      <c r="J3" s="269"/>
      <c r="K3" s="301"/>
      <c r="L3" s="302" t="s">
        <v>158</v>
      </c>
      <c r="M3" s="302"/>
      <c r="N3" s="303"/>
      <c r="O3" s="269"/>
      <c r="P3" s="269"/>
      <c r="Q3" s="323"/>
    </row>
    <row r="4" ht="18.75" spans="1:17">
      <c r="A4" s="269"/>
      <c r="B4" s="269"/>
      <c r="C4" s="269"/>
      <c r="D4" s="269"/>
      <c r="E4" s="269"/>
      <c r="F4" s="269"/>
      <c r="G4" s="269" t="s">
        <v>4</v>
      </c>
      <c r="H4" s="269">
        <v>17697</v>
      </c>
      <c r="I4" s="269"/>
      <c r="J4" s="304"/>
      <c r="K4" s="304"/>
      <c r="L4" s="304"/>
      <c r="M4" s="304"/>
      <c r="N4" s="305"/>
      <c r="O4" s="269"/>
      <c r="P4" s="269"/>
      <c r="Q4" s="323"/>
    </row>
    <row r="5" ht="18" customHeight="1" spans="1:21">
      <c r="A5" s="132" t="s">
        <v>5</v>
      </c>
      <c r="B5" s="132" t="s">
        <v>6</v>
      </c>
      <c r="C5" s="132" t="s">
        <v>159</v>
      </c>
      <c r="D5" s="132" t="s">
        <v>8</v>
      </c>
      <c r="E5" s="132" t="s">
        <v>9</v>
      </c>
      <c r="F5" s="132"/>
      <c r="G5" s="273" t="s">
        <v>18</v>
      </c>
      <c r="H5" s="273" t="s">
        <v>19</v>
      </c>
      <c r="I5" s="306" t="s">
        <v>160</v>
      </c>
      <c r="J5" s="307" t="s">
        <v>161</v>
      </c>
      <c r="K5" s="308">
        <v>0.5</v>
      </c>
      <c r="L5" s="132"/>
      <c r="M5" s="306" t="s">
        <v>22</v>
      </c>
      <c r="N5" s="307"/>
      <c r="O5" s="309" t="s">
        <v>33</v>
      </c>
      <c r="P5" s="310"/>
      <c r="Q5" s="324"/>
      <c r="R5" s="132" t="s">
        <v>13</v>
      </c>
      <c r="S5" s="132" t="s">
        <v>14</v>
      </c>
      <c r="T5" s="325" t="s">
        <v>15</v>
      </c>
      <c r="U5" s="325"/>
    </row>
    <row r="6" ht="96.75" customHeight="1" spans="1:21">
      <c r="A6" s="132"/>
      <c r="B6" s="132"/>
      <c r="C6" s="132"/>
      <c r="D6" s="132"/>
      <c r="E6" s="132" t="s">
        <v>162</v>
      </c>
      <c r="F6" s="274" t="s">
        <v>17</v>
      </c>
      <c r="G6" s="275"/>
      <c r="H6" s="275"/>
      <c r="I6" s="311"/>
      <c r="J6" s="312"/>
      <c r="K6" s="132"/>
      <c r="L6" s="132"/>
      <c r="M6" s="313"/>
      <c r="N6" s="314"/>
      <c r="O6" s="315"/>
      <c r="P6" s="316"/>
      <c r="Q6" s="132" t="s">
        <v>34</v>
      </c>
      <c r="R6" s="132"/>
      <c r="S6" s="132"/>
      <c r="T6" s="325"/>
      <c r="U6" s="325"/>
    </row>
    <row r="7" ht="54" customHeight="1" spans="1:21">
      <c r="A7" s="132"/>
      <c r="B7" s="132"/>
      <c r="C7" s="132"/>
      <c r="D7" s="132"/>
      <c r="E7" s="132"/>
      <c r="F7" s="274"/>
      <c r="G7" s="276"/>
      <c r="H7" s="276"/>
      <c r="I7" s="313"/>
      <c r="J7" s="314"/>
      <c r="K7" s="308" t="s">
        <v>42</v>
      </c>
      <c r="L7" s="317" t="s">
        <v>167</v>
      </c>
      <c r="M7" s="308" t="s">
        <v>42</v>
      </c>
      <c r="N7" s="317" t="s">
        <v>167</v>
      </c>
      <c r="O7" s="308" t="s">
        <v>42</v>
      </c>
      <c r="P7" s="318" t="s">
        <v>43</v>
      </c>
      <c r="Q7" s="132"/>
      <c r="R7" s="132"/>
      <c r="S7" s="132"/>
      <c r="T7" s="326" t="s">
        <v>56</v>
      </c>
      <c r="U7" s="326" t="s">
        <v>43</v>
      </c>
    </row>
    <row r="8" ht="19.5" customHeight="1" spans="1:21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/>
      <c r="L8" s="132"/>
      <c r="M8" s="132">
        <v>11</v>
      </c>
      <c r="N8" s="132">
        <v>12</v>
      </c>
      <c r="O8" s="132"/>
      <c r="P8" s="132">
        <v>26</v>
      </c>
      <c r="Q8" s="132">
        <v>27</v>
      </c>
      <c r="R8" s="132">
        <v>28</v>
      </c>
      <c r="S8" s="132">
        <v>29</v>
      </c>
      <c r="T8" s="132">
        <v>30</v>
      </c>
      <c r="U8" s="132">
        <v>31</v>
      </c>
    </row>
    <row r="9" s="267" customFormat="1" ht="20.1" customHeight="1" spans="1:21">
      <c r="A9" s="277"/>
      <c r="B9" s="278" t="s">
        <v>171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326"/>
      <c r="U9" s="326"/>
    </row>
    <row r="10" ht="33" customHeight="1" spans="1:21">
      <c r="A10" s="279">
        <v>1</v>
      </c>
      <c r="B10" s="280" t="s">
        <v>172</v>
      </c>
      <c r="C10" s="280" t="s">
        <v>173</v>
      </c>
      <c r="D10" s="280" t="s">
        <v>69</v>
      </c>
      <c r="E10" s="280" t="s">
        <v>174</v>
      </c>
      <c r="F10" s="280"/>
      <c r="G10" s="281">
        <v>26</v>
      </c>
      <c r="H10" s="278">
        <v>6.22</v>
      </c>
      <c r="I10" s="285">
        <v>1</v>
      </c>
      <c r="J10" s="319">
        <f t="shared" ref="J10:J14" si="0">$H$4*H10*I10</f>
        <v>110075.34</v>
      </c>
      <c r="K10" s="319">
        <v>50</v>
      </c>
      <c r="L10" s="319">
        <f>SUM(J10*K10)/100</f>
        <v>55037.67</v>
      </c>
      <c r="M10" s="285">
        <v>25</v>
      </c>
      <c r="N10" s="319">
        <f>SUM(L10*M10)/100</f>
        <v>13759.4175</v>
      </c>
      <c r="O10" s="320">
        <v>10</v>
      </c>
      <c r="P10" s="320">
        <f>SUM(J10*0.1)</f>
        <v>11007.534</v>
      </c>
      <c r="Q10" s="319">
        <f>SUM(N10,P10,L10)</f>
        <v>79804.6215</v>
      </c>
      <c r="R10" s="289">
        <f t="shared" ref="R10:R15" si="1">SUM(J10+Q10)</f>
        <v>189879.9615</v>
      </c>
      <c r="S10" s="319">
        <f t="shared" ref="S10:S17" si="2">SUM(R10*4)</f>
        <v>759519.846</v>
      </c>
      <c r="T10" s="327">
        <v>1</v>
      </c>
      <c r="U10" s="328">
        <f>SUM(($H$4*H10+(($H$4*H10*M10)/100))*T10)</f>
        <v>137594.175</v>
      </c>
    </row>
    <row r="11" ht="32.25" customHeight="1" spans="1:21">
      <c r="A11" s="279">
        <v>2</v>
      </c>
      <c r="B11" s="280" t="s">
        <v>83</v>
      </c>
      <c r="C11" s="280" t="s">
        <v>175</v>
      </c>
      <c r="D11" s="280" t="s">
        <v>69</v>
      </c>
      <c r="E11" s="280" t="s">
        <v>176</v>
      </c>
      <c r="F11" s="282"/>
      <c r="G11" s="281">
        <v>39</v>
      </c>
      <c r="H11" s="278">
        <v>5.91</v>
      </c>
      <c r="I11" s="285">
        <v>0.5</v>
      </c>
      <c r="J11" s="319">
        <f t="shared" si="0"/>
        <v>52294.635</v>
      </c>
      <c r="K11" s="319">
        <v>50</v>
      </c>
      <c r="L11" s="319">
        <f t="shared" ref="L11:L14" si="3">SUM(J11*K11)/100</f>
        <v>26147.3175</v>
      </c>
      <c r="M11" s="285">
        <v>25</v>
      </c>
      <c r="N11" s="319">
        <f t="shared" ref="N11:N19" si="4">SUM(L11*M11)/100</f>
        <v>6536.829375</v>
      </c>
      <c r="O11" s="320">
        <v>10</v>
      </c>
      <c r="P11" s="320">
        <f>SUM(J11*0.1)</f>
        <v>5229.4635</v>
      </c>
      <c r="Q11" s="319">
        <f t="shared" ref="Q11:R19" si="5">SUM(N11,P11,L11)</f>
        <v>37913.610375</v>
      </c>
      <c r="R11" s="289">
        <f t="shared" si="1"/>
        <v>90208.245375</v>
      </c>
      <c r="S11" s="319">
        <f t="shared" si="2"/>
        <v>360832.9815</v>
      </c>
      <c r="T11" s="329">
        <v>0.5</v>
      </c>
      <c r="U11" s="328">
        <f>SUM(($H$4*H11+(($H$4*H11*M11)/100))*T11)</f>
        <v>65368.29375</v>
      </c>
    </row>
    <row r="12" ht="39.75" customHeight="1" spans="1:21">
      <c r="A12" s="279">
        <v>3</v>
      </c>
      <c r="B12" s="280" t="s">
        <v>79</v>
      </c>
      <c r="C12" s="280" t="s">
        <v>175</v>
      </c>
      <c r="D12" s="280" t="s">
        <v>69</v>
      </c>
      <c r="E12" s="280" t="s">
        <v>176</v>
      </c>
      <c r="F12" s="282"/>
      <c r="G12" s="283">
        <v>14</v>
      </c>
      <c r="H12" s="278">
        <v>5.43</v>
      </c>
      <c r="I12" s="285">
        <v>1</v>
      </c>
      <c r="J12" s="319">
        <f t="shared" si="0"/>
        <v>96094.71</v>
      </c>
      <c r="K12" s="319">
        <v>50</v>
      </c>
      <c r="L12" s="319">
        <f t="shared" si="3"/>
        <v>48047.355</v>
      </c>
      <c r="M12" s="285">
        <v>25</v>
      </c>
      <c r="N12" s="319">
        <f t="shared" si="4"/>
        <v>12011.83875</v>
      </c>
      <c r="O12" s="320">
        <v>10</v>
      </c>
      <c r="P12" s="320">
        <f>SUM(J12*0.1)</f>
        <v>9609.471</v>
      </c>
      <c r="Q12" s="319">
        <f t="shared" si="5"/>
        <v>69668.66475</v>
      </c>
      <c r="R12" s="289">
        <f t="shared" si="1"/>
        <v>165763.37475</v>
      </c>
      <c r="S12" s="319">
        <f t="shared" si="2"/>
        <v>663053.499</v>
      </c>
      <c r="T12" s="329">
        <v>1</v>
      </c>
      <c r="U12" s="328">
        <f>SUM(($H$4*H12+(($H$4*H12*M12)/100))*T12)</f>
        <v>120118.3875</v>
      </c>
    </row>
    <row r="13" ht="39.75" customHeight="1" spans="1:21">
      <c r="A13" s="279">
        <v>4</v>
      </c>
      <c r="B13" s="280" t="s">
        <v>92</v>
      </c>
      <c r="C13" s="280" t="s">
        <v>177</v>
      </c>
      <c r="D13" s="280" t="s">
        <v>69</v>
      </c>
      <c r="E13" s="280" t="s">
        <v>176</v>
      </c>
      <c r="F13" s="282"/>
      <c r="G13" s="284">
        <v>25.2</v>
      </c>
      <c r="H13" s="278">
        <v>5.91</v>
      </c>
      <c r="I13" s="285">
        <v>1</v>
      </c>
      <c r="J13" s="319">
        <f t="shared" si="0"/>
        <v>104589.27</v>
      </c>
      <c r="K13" s="319">
        <v>50</v>
      </c>
      <c r="L13" s="319">
        <f t="shared" si="3"/>
        <v>52294.635</v>
      </c>
      <c r="M13" s="285">
        <v>25</v>
      </c>
      <c r="N13" s="319">
        <f t="shared" si="4"/>
        <v>13073.65875</v>
      </c>
      <c r="O13" s="320">
        <v>10</v>
      </c>
      <c r="P13" s="320">
        <f>SUM(J13*0.1)</f>
        <v>10458.927</v>
      </c>
      <c r="Q13" s="319">
        <f t="shared" si="5"/>
        <v>75827.22075</v>
      </c>
      <c r="R13" s="289">
        <f t="shared" si="1"/>
        <v>180416.49075</v>
      </c>
      <c r="S13" s="319">
        <f t="shared" si="2"/>
        <v>721665.963</v>
      </c>
      <c r="T13" s="327">
        <v>1</v>
      </c>
      <c r="U13" s="328">
        <f>SUM(($H$4*H13+(($H$4*H13*M13)/100))*T13)</f>
        <v>130736.5875</v>
      </c>
    </row>
    <row r="14" ht="32.45" customHeight="1" spans="1:21">
      <c r="A14" s="279">
        <v>5</v>
      </c>
      <c r="B14" s="278" t="s">
        <v>88</v>
      </c>
      <c r="C14" s="280" t="s">
        <v>177</v>
      </c>
      <c r="D14" s="285" t="s">
        <v>69</v>
      </c>
      <c r="E14" s="280" t="s">
        <v>176</v>
      </c>
      <c r="F14" s="285"/>
      <c r="G14" s="285">
        <v>17.2</v>
      </c>
      <c r="H14" s="278">
        <v>4.86</v>
      </c>
      <c r="I14" s="285">
        <v>0.5</v>
      </c>
      <c r="J14" s="319">
        <f t="shared" si="0"/>
        <v>43003.71</v>
      </c>
      <c r="K14" s="319">
        <v>50</v>
      </c>
      <c r="L14" s="319">
        <f t="shared" si="3"/>
        <v>21501.855</v>
      </c>
      <c r="M14" s="285">
        <v>25</v>
      </c>
      <c r="N14" s="319">
        <f t="shared" si="4"/>
        <v>5375.46375</v>
      </c>
      <c r="O14" s="320">
        <v>10</v>
      </c>
      <c r="P14" s="320">
        <f>SUM(J14*0.1)</f>
        <v>4300.371</v>
      </c>
      <c r="Q14" s="319">
        <f t="shared" si="5"/>
        <v>31177.68975</v>
      </c>
      <c r="R14" s="289">
        <f t="shared" si="1"/>
        <v>74181.39975</v>
      </c>
      <c r="S14" s="319">
        <f t="shared" si="2"/>
        <v>296725.599</v>
      </c>
      <c r="T14" s="329">
        <v>0.5</v>
      </c>
      <c r="U14" s="328">
        <f>SUM(($H$4*H14+(($H$4*H14*M14)/100))*T14)</f>
        <v>53754.6375</v>
      </c>
    </row>
    <row r="15" ht="20.1" customHeight="1" spans="1:21">
      <c r="A15" s="279"/>
      <c r="B15" s="278" t="s">
        <v>182</v>
      </c>
      <c r="C15" s="285"/>
      <c r="D15" s="285"/>
      <c r="E15" s="285"/>
      <c r="F15" s="285"/>
      <c r="G15" s="285"/>
      <c r="H15" s="285"/>
      <c r="I15" s="278">
        <f>SUM(I10:I14)</f>
        <v>4</v>
      </c>
      <c r="J15" s="289">
        <f>SUM(J10:J14)</f>
        <v>406057.665</v>
      </c>
      <c r="K15" s="289">
        <f>SUM(K10:K14)</f>
        <v>250</v>
      </c>
      <c r="L15" s="289">
        <f t="shared" ref="L15:N15" si="6">SUM(L10:L14)</f>
        <v>203028.8325</v>
      </c>
      <c r="M15" s="289">
        <f t="shared" si="6"/>
        <v>125</v>
      </c>
      <c r="N15" s="289">
        <f t="shared" si="6"/>
        <v>50757.208125</v>
      </c>
      <c r="O15" s="289"/>
      <c r="P15" s="289">
        <f>SUM(P10:P14)</f>
        <v>40605.7665</v>
      </c>
      <c r="Q15" s="289">
        <f>SUM(Q10:Q14)</f>
        <v>294391.807125</v>
      </c>
      <c r="R15" s="289">
        <f t="shared" si="1"/>
        <v>700449.472125</v>
      </c>
      <c r="S15" s="319">
        <f t="shared" si="2"/>
        <v>2801797.8885</v>
      </c>
      <c r="T15" s="278">
        <v>3.5</v>
      </c>
      <c r="U15" s="289">
        <f>SUM(U10:U14)</f>
        <v>507572.08125</v>
      </c>
    </row>
    <row r="16" ht="42" customHeight="1" spans="1:21">
      <c r="A16" s="279">
        <v>1</v>
      </c>
      <c r="B16" s="280" t="s">
        <v>122</v>
      </c>
      <c r="C16" s="280" t="s">
        <v>184</v>
      </c>
      <c r="D16" s="280" t="s">
        <v>69</v>
      </c>
      <c r="E16" s="280" t="s">
        <v>185</v>
      </c>
      <c r="F16" s="280">
        <v>2</v>
      </c>
      <c r="G16" s="286">
        <v>6.4</v>
      </c>
      <c r="H16" s="278">
        <v>4.66</v>
      </c>
      <c r="I16" s="280">
        <v>1</v>
      </c>
      <c r="J16" s="321">
        <f>$H$4*H16*I16</f>
        <v>82468.02</v>
      </c>
      <c r="K16" s="319">
        <v>50</v>
      </c>
      <c r="L16" s="319">
        <f t="shared" ref="L16:L19" si="7">SUM(J16*K16)/100</f>
        <v>41234.01</v>
      </c>
      <c r="M16" s="285">
        <v>25</v>
      </c>
      <c r="N16" s="319">
        <f t="shared" si="4"/>
        <v>10308.5025</v>
      </c>
      <c r="O16" s="320">
        <v>10</v>
      </c>
      <c r="P16" s="320">
        <f>SUM(J16*0.1)</f>
        <v>8246.802</v>
      </c>
      <c r="Q16" s="319">
        <f t="shared" si="5"/>
        <v>59789.3145</v>
      </c>
      <c r="R16" s="319">
        <f t="shared" si="5"/>
        <v>59824.3145</v>
      </c>
      <c r="S16" s="319">
        <f t="shared" si="2"/>
        <v>239297.258</v>
      </c>
      <c r="T16" s="329">
        <v>1</v>
      </c>
      <c r="U16" s="328">
        <f>SUM(($H$4*H16+(($H$4*H16*M16)/100))*T16)</f>
        <v>103085.025</v>
      </c>
    </row>
    <row r="17" ht="38.25" customHeight="1" spans="1:21">
      <c r="A17" s="279">
        <v>2</v>
      </c>
      <c r="B17" s="280" t="s">
        <v>186</v>
      </c>
      <c r="C17" s="280" t="s">
        <v>187</v>
      </c>
      <c r="D17" s="280" t="s">
        <v>69</v>
      </c>
      <c r="E17" s="280" t="s">
        <v>188</v>
      </c>
      <c r="F17" s="280">
        <v>2</v>
      </c>
      <c r="G17" s="287">
        <v>21.2</v>
      </c>
      <c r="H17" s="278">
        <v>5.08</v>
      </c>
      <c r="I17" s="280">
        <v>1</v>
      </c>
      <c r="J17" s="321">
        <f>$H$4*H17*I17</f>
        <v>89900.76</v>
      </c>
      <c r="K17" s="319">
        <v>50</v>
      </c>
      <c r="L17" s="319">
        <f t="shared" si="7"/>
        <v>44950.38</v>
      </c>
      <c r="M17" s="285">
        <v>25</v>
      </c>
      <c r="N17" s="319">
        <f t="shared" si="4"/>
        <v>11237.595</v>
      </c>
      <c r="O17" s="320">
        <v>10</v>
      </c>
      <c r="P17" s="320">
        <f>SUM(J17*0.1)</f>
        <v>8990.076</v>
      </c>
      <c r="Q17" s="319">
        <f t="shared" si="5"/>
        <v>65178.051</v>
      </c>
      <c r="R17" s="289">
        <f>SUM(J17+Q17)</f>
        <v>155078.811</v>
      </c>
      <c r="S17" s="319">
        <f t="shared" si="2"/>
        <v>620315.244</v>
      </c>
      <c r="T17" s="329">
        <v>1</v>
      </c>
      <c r="U17" s="328">
        <f>SUM(($H$4*H17+(($H$4*H17*M17)/100))*T17)</f>
        <v>112375.95</v>
      </c>
    </row>
    <row r="18" ht="44.25" customHeight="1" spans="1:21">
      <c r="A18" s="279">
        <v>3</v>
      </c>
      <c r="B18" s="280" t="s">
        <v>189</v>
      </c>
      <c r="C18" s="280" t="s">
        <v>190</v>
      </c>
      <c r="D18" s="280" t="s">
        <v>69</v>
      </c>
      <c r="E18" s="280" t="s">
        <v>191</v>
      </c>
      <c r="F18" s="280"/>
      <c r="G18" s="288" t="s">
        <v>130</v>
      </c>
      <c r="H18" s="289">
        <v>4.1</v>
      </c>
      <c r="I18" s="280">
        <v>1</v>
      </c>
      <c r="J18" s="321">
        <f>$H$4*H18*I18</f>
        <v>72557.7</v>
      </c>
      <c r="K18" s="319">
        <v>50</v>
      </c>
      <c r="L18" s="319">
        <f t="shared" si="7"/>
        <v>36278.85</v>
      </c>
      <c r="M18" s="285">
        <v>25</v>
      </c>
      <c r="N18" s="319">
        <f t="shared" si="4"/>
        <v>9069.7125</v>
      </c>
      <c r="O18" s="320">
        <v>10</v>
      </c>
      <c r="P18" s="320">
        <f>SUM(J18*0.1)</f>
        <v>7255.77</v>
      </c>
      <c r="Q18" s="319">
        <f t="shared" si="5"/>
        <v>52604.3325</v>
      </c>
      <c r="R18" s="289">
        <f>SUM(J18+Q18)</f>
        <v>125162.0325</v>
      </c>
      <c r="S18" s="319">
        <f>SUM(R18*12)</f>
        <v>1501944.39</v>
      </c>
      <c r="T18" s="329">
        <v>1</v>
      </c>
      <c r="U18" s="328">
        <f>SUM(($H$4*H18+(($H$4*H18*M18)/100))*T18)</f>
        <v>90697.125</v>
      </c>
    </row>
    <row r="19" ht="44.25" customHeight="1" spans="1:21">
      <c r="A19" s="279">
        <v>4</v>
      </c>
      <c r="B19" s="280" t="s">
        <v>192</v>
      </c>
      <c r="C19" s="280" t="s">
        <v>193</v>
      </c>
      <c r="D19" s="280" t="s">
        <v>69</v>
      </c>
      <c r="E19" s="280" t="s">
        <v>78</v>
      </c>
      <c r="F19" s="280"/>
      <c r="G19" s="288" t="s">
        <v>194</v>
      </c>
      <c r="H19" s="289">
        <v>4.86</v>
      </c>
      <c r="I19" s="280">
        <v>1</v>
      </c>
      <c r="J19" s="321">
        <f>$H$4*H19*I19</f>
        <v>86007.42</v>
      </c>
      <c r="K19" s="319">
        <v>50</v>
      </c>
      <c r="L19" s="319">
        <f t="shared" si="7"/>
        <v>43003.71</v>
      </c>
      <c r="M19" s="285">
        <v>25</v>
      </c>
      <c r="N19" s="319">
        <f t="shared" si="4"/>
        <v>10750.9275</v>
      </c>
      <c r="O19" s="320">
        <v>10</v>
      </c>
      <c r="P19" s="320">
        <f>SUM(J19*0.1)</f>
        <v>8600.742</v>
      </c>
      <c r="Q19" s="319">
        <f t="shared" si="5"/>
        <v>62355.3795</v>
      </c>
      <c r="R19" s="289">
        <f>SUM(J19+Q19)</f>
        <v>148362.7995</v>
      </c>
      <c r="S19" s="319">
        <f>SUM(R19*12)</f>
        <v>1780353.594</v>
      </c>
      <c r="T19" s="329">
        <v>1</v>
      </c>
      <c r="U19" s="328">
        <f>SUM(($H$4*H19+(($H$4*H19*M19)/100))*T19)</f>
        <v>107509.275</v>
      </c>
    </row>
    <row r="20" ht="20.1" customHeight="1" spans="1:21">
      <c r="A20" s="279"/>
      <c r="B20" s="278" t="s">
        <v>195</v>
      </c>
      <c r="C20" s="285"/>
      <c r="D20" s="285"/>
      <c r="E20" s="285"/>
      <c r="F20" s="285"/>
      <c r="G20" s="285"/>
      <c r="H20" s="285"/>
      <c r="I20" s="278">
        <f t="shared" ref="I20:Q20" si="8">SUM(I16:I18)</f>
        <v>3</v>
      </c>
      <c r="J20" s="278">
        <f t="shared" si="8"/>
        <v>244926.48</v>
      </c>
      <c r="K20" s="278">
        <f t="shared" si="8"/>
        <v>150</v>
      </c>
      <c r="L20" s="278">
        <f t="shared" si="8"/>
        <v>122463.24</v>
      </c>
      <c r="M20" s="278">
        <f t="shared" si="8"/>
        <v>75</v>
      </c>
      <c r="N20" s="278">
        <f t="shared" si="8"/>
        <v>30615.81</v>
      </c>
      <c r="O20" s="278">
        <f t="shared" si="8"/>
        <v>30</v>
      </c>
      <c r="P20" s="289">
        <f t="shared" si="8"/>
        <v>24492.648</v>
      </c>
      <c r="Q20" s="289">
        <f t="shared" si="8"/>
        <v>177571.698</v>
      </c>
      <c r="R20" s="289">
        <f>SUM(J20+Q20)</f>
        <v>422498.178</v>
      </c>
      <c r="S20" s="319">
        <f t="shared" ref="S20" si="9">SUM(R20*12)</f>
        <v>5069978.136</v>
      </c>
      <c r="T20" s="278">
        <f>SUM(T16:T18)</f>
        <v>3</v>
      </c>
      <c r="U20" s="289">
        <f>SUM(U16:U18)</f>
        <v>306158.1</v>
      </c>
    </row>
    <row r="21" ht="20.1" customHeight="1" spans="1:21">
      <c r="A21" s="290"/>
      <c r="B21" s="291" t="s">
        <v>218</v>
      </c>
      <c r="C21" s="290"/>
      <c r="D21" s="290"/>
      <c r="E21" s="290"/>
      <c r="F21" s="290"/>
      <c r="G21" s="290"/>
      <c r="H21" s="290"/>
      <c r="I21" s="322">
        <f t="shared" ref="I21:U21" si="10">I15+I20</f>
        <v>7</v>
      </c>
      <c r="J21" s="322">
        <f t="shared" si="10"/>
        <v>650984.145</v>
      </c>
      <c r="K21" s="322">
        <f t="shared" si="10"/>
        <v>400</v>
      </c>
      <c r="L21" s="322">
        <f t="shared" si="10"/>
        <v>325492.0725</v>
      </c>
      <c r="M21" s="322">
        <f t="shared" si="10"/>
        <v>200</v>
      </c>
      <c r="N21" s="322">
        <f t="shared" si="10"/>
        <v>81373.018125</v>
      </c>
      <c r="O21" s="322">
        <f t="shared" si="10"/>
        <v>30</v>
      </c>
      <c r="P21" s="322">
        <f t="shared" si="10"/>
        <v>65098.4145</v>
      </c>
      <c r="Q21" s="322">
        <f t="shared" si="10"/>
        <v>471963.505125</v>
      </c>
      <c r="R21" s="322">
        <f t="shared" si="10"/>
        <v>1122947.650125</v>
      </c>
      <c r="S21" s="322">
        <f t="shared" si="10"/>
        <v>7871776.0245</v>
      </c>
      <c r="T21" s="322">
        <f t="shared" si="10"/>
        <v>6.5</v>
      </c>
      <c r="U21" s="322">
        <f t="shared" si="10"/>
        <v>813730.18125</v>
      </c>
    </row>
    <row r="22" ht="18.75" spans="1:1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323"/>
    </row>
    <row r="23" ht="18.75" spans="1:17">
      <c r="A23" s="292"/>
      <c r="B23" s="293"/>
      <c r="C23" s="294" t="s">
        <v>145</v>
      </c>
      <c r="D23" s="294"/>
      <c r="E23" s="294"/>
      <c r="F23" s="294"/>
      <c r="G23" s="295"/>
      <c r="H23" s="296" t="s">
        <v>146</v>
      </c>
      <c r="I23" s="294"/>
      <c r="J23" s="294"/>
      <c r="K23" s="294"/>
      <c r="L23" s="294"/>
      <c r="M23" s="294"/>
      <c r="N23" s="294"/>
      <c r="O23" s="293"/>
      <c r="P23" s="293"/>
      <c r="Q23" s="330"/>
    </row>
    <row r="24" ht="18.75" spans="1:17">
      <c r="A24" s="292"/>
      <c r="B24" s="293"/>
      <c r="C24" s="294"/>
      <c r="D24" s="294"/>
      <c r="E24" s="294"/>
      <c r="F24" s="294"/>
      <c r="G24" s="295"/>
      <c r="H24" s="296"/>
      <c r="I24" s="294"/>
      <c r="J24" s="294"/>
      <c r="K24" s="294"/>
      <c r="L24" s="294"/>
      <c r="M24" s="294"/>
      <c r="N24" s="294"/>
      <c r="O24" s="293"/>
      <c r="P24" s="293"/>
      <c r="Q24" s="330"/>
    </row>
    <row r="25" ht="18.75" spans="1:17">
      <c r="A25" s="292"/>
      <c r="B25" s="293"/>
      <c r="C25" s="295" t="s">
        <v>149</v>
      </c>
      <c r="D25" s="295"/>
      <c r="E25" s="295"/>
      <c r="F25" s="294"/>
      <c r="G25" s="295"/>
      <c r="H25" s="296" t="s">
        <v>150</v>
      </c>
      <c r="I25" s="294"/>
      <c r="J25" s="294"/>
      <c r="K25" s="294"/>
      <c r="L25" s="294"/>
      <c r="M25" s="294"/>
      <c r="N25" s="294"/>
      <c r="O25" s="293"/>
      <c r="P25" s="293"/>
      <c r="Q25" s="330"/>
    </row>
    <row r="26" ht="18.75" spans="1:17">
      <c r="A26" s="292"/>
      <c r="B26" s="293"/>
      <c r="C26" s="295"/>
      <c r="D26" s="295"/>
      <c r="E26" s="295"/>
      <c r="F26" s="294"/>
      <c r="G26" s="295"/>
      <c r="H26" s="296"/>
      <c r="I26" s="294"/>
      <c r="J26" s="294"/>
      <c r="K26" s="294"/>
      <c r="L26" s="294"/>
      <c r="M26" s="294"/>
      <c r="N26" s="294"/>
      <c r="O26" s="293"/>
      <c r="P26" s="293"/>
      <c r="Q26" s="330"/>
    </row>
    <row r="27" ht="18.75" spans="1:17">
      <c r="A27" s="292"/>
      <c r="B27" s="293"/>
      <c r="C27" s="295"/>
      <c r="D27" s="295"/>
      <c r="E27" s="295"/>
      <c r="F27" s="294"/>
      <c r="G27" s="295"/>
      <c r="H27" s="296"/>
      <c r="I27" s="294"/>
      <c r="J27" s="294"/>
      <c r="K27" s="294"/>
      <c r="L27" s="294"/>
      <c r="M27" s="294"/>
      <c r="N27" s="294"/>
      <c r="O27" s="293"/>
      <c r="P27" s="293"/>
      <c r="Q27" s="330"/>
    </row>
    <row r="28" ht="18.75" spans="1:17">
      <c r="A28" s="292"/>
      <c r="B28" s="293"/>
      <c r="C28" s="295"/>
      <c r="D28" s="295"/>
      <c r="E28" s="295"/>
      <c r="F28" s="295"/>
      <c r="G28" s="295"/>
      <c r="H28" s="297"/>
      <c r="I28" s="294"/>
      <c r="J28" s="294"/>
      <c r="K28" s="294"/>
      <c r="L28" s="294"/>
      <c r="M28" s="294"/>
      <c r="N28" s="294"/>
      <c r="O28" s="293"/>
      <c r="P28" s="293"/>
      <c r="Q28" s="330"/>
    </row>
    <row r="29" ht="18.75" spans="1:17">
      <c r="A29" s="292"/>
      <c r="B29" s="293"/>
      <c r="C29" s="295" t="s">
        <v>153</v>
      </c>
      <c r="D29" s="295"/>
      <c r="E29" s="295"/>
      <c r="F29" s="294"/>
      <c r="G29" s="295"/>
      <c r="H29" s="296" t="s">
        <v>154</v>
      </c>
      <c r="I29" s="294"/>
      <c r="J29" s="294"/>
      <c r="K29" s="294"/>
      <c r="L29" s="294"/>
      <c r="M29" s="294"/>
      <c r="N29" s="294"/>
      <c r="O29" s="293"/>
      <c r="P29" s="293"/>
      <c r="Q29" s="330"/>
    </row>
    <row r="30" ht="18.75" spans="1:17">
      <c r="A30" s="298"/>
      <c r="B30" s="299"/>
      <c r="C30" s="299"/>
      <c r="D30" s="299"/>
      <c r="E30" s="299"/>
      <c r="F30" s="299"/>
      <c r="G30" s="299"/>
      <c r="H30" s="298"/>
      <c r="I30" s="299"/>
      <c r="J30" s="299"/>
      <c r="K30" s="299"/>
      <c r="L30" s="299"/>
      <c r="M30" s="299"/>
      <c r="N30" s="299"/>
      <c r="O30" s="299"/>
      <c r="P30" s="299"/>
      <c r="Q30" s="300"/>
    </row>
    <row r="31" ht="18.75" spans="1:17">
      <c r="A31" s="298"/>
      <c r="B31" s="299"/>
      <c r="C31" s="299"/>
      <c r="D31" s="299"/>
      <c r="E31" s="299"/>
      <c r="F31" s="299"/>
      <c r="G31" s="299"/>
      <c r="H31" s="298"/>
      <c r="I31" s="299"/>
      <c r="J31" s="299"/>
      <c r="K31" s="299"/>
      <c r="L31" s="299"/>
      <c r="M31" s="299"/>
      <c r="N31" s="299"/>
      <c r="O31" s="299"/>
      <c r="P31" s="299"/>
      <c r="Q31" s="300"/>
    </row>
    <row r="32" ht="18.75" spans="1:17">
      <c r="A32" s="298"/>
      <c r="B32" s="299"/>
      <c r="C32" s="299"/>
      <c r="D32" s="299"/>
      <c r="E32" s="299"/>
      <c r="F32" s="299"/>
      <c r="G32" s="299"/>
      <c r="H32" s="298"/>
      <c r="I32" s="299"/>
      <c r="J32" s="299"/>
      <c r="K32" s="299"/>
      <c r="L32" s="299"/>
      <c r="M32" s="299"/>
      <c r="N32" s="299"/>
      <c r="O32" s="299"/>
      <c r="P32" s="299"/>
      <c r="Q32" s="300"/>
    </row>
    <row r="33" ht="18.75" spans="1:17">
      <c r="A33" s="298"/>
      <c r="B33" s="299"/>
      <c r="C33" s="299"/>
      <c r="D33" s="299"/>
      <c r="E33" s="299"/>
      <c r="F33" s="299"/>
      <c r="G33" s="299"/>
      <c r="H33" s="298"/>
      <c r="I33" s="299"/>
      <c r="J33" s="299"/>
      <c r="K33" s="299"/>
      <c r="L33" s="299"/>
      <c r="M33" s="299"/>
      <c r="N33" s="299"/>
      <c r="O33" s="299"/>
      <c r="P33" s="299"/>
      <c r="Q33" s="300"/>
    </row>
    <row r="34" ht="18.75" spans="1:17">
      <c r="A34" s="298"/>
      <c r="B34" s="299"/>
      <c r="C34" s="299"/>
      <c r="D34" s="299"/>
      <c r="E34" s="299"/>
      <c r="F34" s="299"/>
      <c r="G34" s="299"/>
      <c r="H34" s="298"/>
      <c r="I34" s="299"/>
      <c r="J34" s="299"/>
      <c r="K34" s="299"/>
      <c r="L34" s="299"/>
      <c r="M34" s="299"/>
      <c r="N34" s="299"/>
      <c r="O34" s="299"/>
      <c r="P34" s="299"/>
      <c r="Q34" s="300"/>
    </row>
    <row r="35" ht="15.75" spans="1:17">
      <c r="A35" s="1"/>
      <c r="B35" s="300"/>
      <c r="C35" s="300"/>
      <c r="D35" s="300"/>
      <c r="E35" s="300"/>
      <c r="F35" s="300"/>
      <c r="G35" s="300"/>
      <c r="H35" s="1"/>
      <c r="I35" s="300"/>
      <c r="J35" s="300"/>
      <c r="K35" s="300"/>
      <c r="L35" s="300"/>
      <c r="M35" s="300"/>
      <c r="N35" s="300"/>
      <c r="O35" s="300"/>
      <c r="P35" s="300"/>
      <c r="Q35" s="300"/>
    </row>
  </sheetData>
  <mergeCells count="23">
    <mergeCell ref="B1:D1"/>
    <mergeCell ref="B2:L2"/>
    <mergeCell ref="B3:F3"/>
    <mergeCell ref="L3:N3"/>
    <mergeCell ref="J4:L4"/>
    <mergeCell ref="E5:F5"/>
    <mergeCell ref="A5:A7"/>
    <mergeCell ref="B5:B7"/>
    <mergeCell ref="C5:C7"/>
    <mergeCell ref="D5:D7"/>
    <mergeCell ref="E6:E7"/>
    <mergeCell ref="F6:F7"/>
    <mergeCell ref="G5:G7"/>
    <mergeCell ref="H5:H7"/>
    <mergeCell ref="I5:I7"/>
    <mergeCell ref="J5:J7"/>
    <mergeCell ref="Q6:Q7"/>
    <mergeCell ref="R5:R7"/>
    <mergeCell ref="S5:S7"/>
    <mergeCell ref="T5:U6"/>
    <mergeCell ref="K5:L6"/>
    <mergeCell ref="M5:N6"/>
    <mergeCell ref="O5:P6"/>
  </mergeCells>
  <pageMargins left="0.708661417322835" right="0.708661417322835" top="0.748031496062992" bottom="0.748031496062992" header="0.31496062992126" footer="0.31496062992126"/>
  <pageSetup paperSize="9" scale="4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1:CE48"/>
  <sheetViews>
    <sheetView zoomScale="60" zoomScaleNormal="60" topLeftCell="A24" workbookViewId="0">
      <pane xSplit="1" topLeftCell="BE1" activePane="topRight" state="frozen"/>
      <selection/>
      <selection pane="topRight" activeCell="BM45" sqref="BM45"/>
    </sheetView>
  </sheetViews>
  <sheetFormatPr defaultColWidth="9" defaultRowHeight="12.75"/>
  <cols>
    <col min="1" max="1" width="48.8571428571429" customWidth="1"/>
    <col min="2" max="2" width="22.2857142857143" customWidth="1"/>
    <col min="3" max="3" width="11.7142857142857" customWidth="1"/>
    <col min="5" max="5" width="22.2857142857143" customWidth="1"/>
    <col min="7" max="7" width="10.5714285714286" customWidth="1"/>
    <col min="8" max="8" width="13.7142857142857" customWidth="1"/>
    <col min="13" max="13" width="12.5714285714286" customWidth="1"/>
    <col min="16" max="16" width="11.7142857142857" customWidth="1"/>
    <col min="18" max="18" width="13.1428571428571" customWidth="1"/>
    <col min="21" max="21" width="14.7142857142857" customWidth="1"/>
    <col min="22" max="22" width="13.4285714285714" customWidth="1"/>
    <col min="24" max="24" width="13.8571428571429" customWidth="1"/>
    <col min="25" max="25" width="11.4285714285714" customWidth="1"/>
    <col min="28" max="28" width="11.4285714285714" customWidth="1"/>
    <col min="29" max="29" width="10.8571428571429" customWidth="1"/>
    <col min="30" max="30" width="16.7142857142857" customWidth="1"/>
    <col min="50" max="50" width="14.8571428571429" customWidth="1"/>
    <col min="55" max="55" width="13.1428571428571" customWidth="1"/>
    <col min="56" max="56" width="12.5714285714286" customWidth="1"/>
    <col min="76" max="76" width="11.4285714285714" customWidth="1"/>
    <col min="82" max="82" width="11.5714285714286" customWidth="1"/>
    <col min="83" max="83" width="19.1428571428571" customWidth="1"/>
  </cols>
  <sheetData>
    <row r="1" ht="27" spans="1:83">
      <c r="A1" s="213" t="s">
        <v>223</v>
      </c>
      <c r="B1" s="214"/>
      <c r="C1" s="214"/>
      <c r="D1" s="214"/>
      <c r="E1" s="214"/>
      <c r="F1" s="214"/>
      <c r="G1" s="214">
        <v>2021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51"/>
      <c r="Y1" s="251"/>
      <c r="Z1" s="251"/>
      <c r="AA1" s="251"/>
      <c r="AB1" s="251"/>
      <c r="AC1" s="254" t="s">
        <v>224</v>
      </c>
      <c r="AD1" s="254"/>
      <c r="AE1" s="254" t="s">
        <v>225</v>
      </c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60"/>
      <c r="AQ1" s="260"/>
      <c r="AR1" s="260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63"/>
    </row>
    <row r="2" ht="27" spans="1:83">
      <c r="A2" s="216" t="s">
        <v>226</v>
      </c>
      <c r="B2" s="217" t="s">
        <v>227</v>
      </c>
      <c r="C2" s="217" t="s">
        <v>228</v>
      </c>
      <c r="D2" s="218" t="s">
        <v>229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 t="s">
        <v>230</v>
      </c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 t="s">
        <v>231</v>
      </c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64"/>
      <c r="CE2" s="264"/>
    </row>
    <row r="3" ht="27" spans="1:83">
      <c r="A3" s="220"/>
      <c r="B3" s="221"/>
      <c r="C3" s="221"/>
      <c r="D3" s="222"/>
      <c r="E3" s="223" t="s">
        <v>232</v>
      </c>
      <c r="F3" s="223" t="s">
        <v>233</v>
      </c>
      <c r="G3" s="223" t="s">
        <v>234</v>
      </c>
      <c r="H3" s="223" t="s">
        <v>235</v>
      </c>
      <c r="I3" s="223" t="s">
        <v>236</v>
      </c>
      <c r="J3" s="223" t="s">
        <v>237</v>
      </c>
      <c r="K3" s="223" t="s">
        <v>238</v>
      </c>
      <c r="L3" s="223" t="s">
        <v>239</v>
      </c>
      <c r="M3" s="246" t="s">
        <v>240</v>
      </c>
      <c r="N3" s="223" t="s">
        <v>241</v>
      </c>
      <c r="O3" s="223" t="s">
        <v>242</v>
      </c>
      <c r="P3" s="223" t="s">
        <v>243</v>
      </c>
      <c r="Q3" s="252" t="s">
        <v>244</v>
      </c>
      <c r="R3" s="252" t="s">
        <v>245</v>
      </c>
      <c r="S3" s="223" t="s">
        <v>246</v>
      </c>
      <c r="T3" s="223" t="s">
        <v>247</v>
      </c>
      <c r="U3" s="223" t="s">
        <v>248</v>
      </c>
      <c r="V3" s="223" t="s">
        <v>249</v>
      </c>
      <c r="W3" s="223" t="s">
        <v>250</v>
      </c>
      <c r="X3" s="246" t="s">
        <v>251</v>
      </c>
      <c r="Y3" s="256" t="s">
        <v>252</v>
      </c>
      <c r="Z3" s="223" t="s">
        <v>253</v>
      </c>
      <c r="AA3" s="223" t="s">
        <v>254</v>
      </c>
      <c r="AB3" s="223" t="s">
        <v>255</v>
      </c>
      <c r="AC3" s="246" t="s">
        <v>256</v>
      </c>
      <c r="AD3" s="246" t="s">
        <v>257</v>
      </c>
      <c r="AE3" s="256" t="s">
        <v>232</v>
      </c>
      <c r="AF3" s="256" t="s">
        <v>233</v>
      </c>
      <c r="AG3" s="256" t="s">
        <v>234</v>
      </c>
      <c r="AH3" s="256" t="s">
        <v>235</v>
      </c>
      <c r="AI3" s="256" t="s">
        <v>236</v>
      </c>
      <c r="AJ3" s="256" t="s">
        <v>237</v>
      </c>
      <c r="AK3" s="257" t="s">
        <v>238</v>
      </c>
      <c r="AL3" s="256" t="s">
        <v>239</v>
      </c>
      <c r="AM3" s="246" t="s">
        <v>240</v>
      </c>
      <c r="AN3" s="256" t="s">
        <v>241</v>
      </c>
      <c r="AO3" s="256" t="s">
        <v>242</v>
      </c>
      <c r="AP3" s="256" t="s">
        <v>244</v>
      </c>
      <c r="AQ3" s="256" t="s">
        <v>243</v>
      </c>
      <c r="AR3" s="256" t="s">
        <v>245</v>
      </c>
      <c r="AS3" s="256" t="s">
        <v>246</v>
      </c>
      <c r="AT3" s="256" t="s">
        <v>247</v>
      </c>
      <c r="AU3" s="256" t="s">
        <v>248</v>
      </c>
      <c r="AV3" s="256" t="s">
        <v>249</v>
      </c>
      <c r="AW3" s="256" t="s">
        <v>250</v>
      </c>
      <c r="AX3" s="246" t="s">
        <v>251</v>
      </c>
      <c r="AY3" s="256" t="s">
        <v>252</v>
      </c>
      <c r="AZ3" s="256" t="s">
        <v>253</v>
      </c>
      <c r="BA3" s="256" t="s">
        <v>254</v>
      </c>
      <c r="BB3" s="223" t="s">
        <v>255</v>
      </c>
      <c r="BC3" s="246" t="s">
        <v>256</v>
      </c>
      <c r="BD3" s="246" t="s">
        <v>257</v>
      </c>
      <c r="BE3" s="256" t="s">
        <v>232</v>
      </c>
      <c r="BF3" s="256" t="s">
        <v>233</v>
      </c>
      <c r="BG3" s="256" t="s">
        <v>234</v>
      </c>
      <c r="BH3" s="256" t="s">
        <v>235</v>
      </c>
      <c r="BI3" s="256" t="s">
        <v>236</v>
      </c>
      <c r="BJ3" s="256" t="s">
        <v>237</v>
      </c>
      <c r="BK3" s="256" t="s">
        <v>238</v>
      </c>
      <c r="BL3" s="256" t="s">
        <v>239</v>
      </c>
      <c r="BM3" s="246" t="s">
        <v>240</v>
      </c>
      <c r="BN3" s="256" t="s">
        <v>241</v>
      </c>
      <c r="BO3" s="256" t="s">
        <v>242</v>
      </c>
      <c r="BP3" s="256" t="s">
        <v>244</v>
      </c>
      <c r="BQ3" s="256" t="s">
        <v>243</v>
      </c>
      <c r="BR3" s="256" t="s">
        <v>245</v>
      </c>
      <c r="BS3" s="256" t="s">
        <v>246</v>
      </c>
      <c r="BT3" s="256" t="s">
        <v>247</v>
      </c>
      <c r="BU3" s="256" t="s">
        <v>248</v>
      </c>
      <c r="BV3" s="256" t="s">
        <v>249</v>
      </c>
      <c r="BW3" s="256" t="s">
        <v>250</v>
      </c>
      <c r="BX3" s="246" t="s">
        <v>251</v>
      </c>
      <c r="BY3" s="256" t="s">
        <v>252</v>
      </c>
      <c r="BZ3" s="256" t="s">
        <v>253</v>
      </c>
      <c r="CA3" s="256" t="s">
        <v>254</v>
      </c>
      <c r="CB3" s="256" t="s">
        <v>255</v>
      </c>
      <c r="CC3" s="246" t="s">
        <v>256</v>
      </c>
      <c r="CD3" s="246" t="s">
        <v>257</v>
      </c>
      <c r="CE3" s="265">
        <f>SUM(M3,X3,AC3,BD3,CD3)</f>
        <v>0</v>
      </c>
    </row>
    <row r="4" ht="27" spans="1:83">
      <c r="A4" s="224" t="s">
        <v>258</v>
      </c>
      <c r="B4" s="225" t="s">
        <v>259</v>
      </c>
      <c r="C4" s="226"/>
      <c r="D4" s="227"/>
      <c r="E4" s="228"/>
      <c r="F4" s="228"/>
      <c r="G4" s="228"/>
      <c r="H4" s="228"/>
      <c r="I4" s="228"/>
      <c r="J4" s="228"/>
      <c r="K4" s="228">
        <v>17</v>
      </c>
      <c r="L4" s="228"/>
      <c r="M4" s="247">
        <f>SUM(E4:L4)</f>
        <v>17</v>
      </c>
      <c r="N4" s="247"/>
      <c r="O4" s="247"/>
      <c r="P4" s="228"/>
      <c r="Q4" s="228"/>
      <c r="R4" s="228"/>
      <c r="S4" s="228"/>
      <c r="T4" s="228"/>
      <c r="U4" s="228"/>
      <c r="V4" s="228"/>
      <c r="W4" s="228"/>
      <c r="X4" s="247">
        <f>SUM(N4:W4)</f>
        <v>0</v>
      </c>
      <c r="Y4" s="247"/>
      <c r="Z4" s="247"/>
      <c r="AA4" s="228"/>
      <c r="AB4" s="228"/>
      <c r="AC4" s="247">
        <f>SUM(Y4:AB4)</f>
        <v>0</v>
      </c>
      <c r="AD4" s="247">
        <v>17</v>
      </c>
      <c r="AE4" s="247"/>
      <c r="AF4" s="228"/>
      <c r="AG4" s="228"/>
      <c r="AH4" s="228"/>
      <c r="AI4" s="228"/>
      <c r="AJ4" s="228"/>
      <c r="AK4" s="257"/>
      <c r="AL4" s="228"/>
      <c r="AM4" s="258">
        <f>SUM(AE4:AL4)</f>
        <v>0</v>
      </c>
      <c r="AN4" s="259"/>
      <c r="AO4" s="247"/>
      <c r="AP4" s="228"/>
      <c r="AQ4" s="228"/>
      <c r="AR4" s="228"/>
      <c r="AS4" s="228"/>
      <c r="AT4" s="228"/>
      <c r="AU4" s="228"/>
      <c r="AV4" s="228"/>
      <c r="AW4" s="228"/>
      <c r="AX4" s="247">
        <f>SUM(AN4:AW4)</f>
        <v>0</v>
      </c>
      <c r="AY4" s="247"/>
      <c r="AZ4" s="247"/>
      <c r="BA4" s="228"/>
      <c r="BB4" s="228"/>
      <c r="BC4" s="247">
        <f>SUM(AY4:BB4)</f>
        <v>0</v>
      </c>
      <c r="BD4" s="247">
        <f>SUM(AM4,AX4,BC4)</f>
        <v>0</v>
      </c>
      <c r="BE4" s="247"/>
      <c r="BF4" s="247"/>
      <c r="BG4" s="247"/>
      <c r="BH4" s="247"/>
      <c r="BI4" s="228"/>
      <c r="BJ4" s="228"/>
      <c r="BK4" s="228">
        <v>1</v>
      </c>
      <c r="BL4" s="228"/>
      <c r="BM4" s="247">
        <f>SUM(BE4:BL4)</f>
        <v>1</v>
      </c>
      <c r="BN4" s="247"/>
      <c r="BO4" s="247"/>
      <c r="BP4" s="247"/>
      <c r="BQ4" s="247"/>
      <c r="BR4" s="247"/>
      <c r="BS4" s="228"/>
      <c r="BT4" s="228"/>
      <c r="BU4" s="228"/>
      <c r="BV4" s="228"/>
      <c r="BW4" s="228"/>
      <c r="BX4" s="262">
        <f>SUM(BN4:BW4)</f>
        <v>0</v>
      </c>
      <c r="BY4" s="247"/>
      <c r="BZ4" s="247"/>
      <c r="CA4" s="228"/>
      <c r="CB4" s="228"/>
      <c r="CC4" s="262">
        <f ca="1">SUM(BM4,BX4,CC4)</f>
        <v>0</v>
      </c>
      <c r="CD4" s="262">
        <v>1</v>
      </c>
      <c r="CE4" s="265">
        <v>18</v>
      </c>
    </row>
    <row r="5" ht="38.25" spans="1:83">
      <c r="A5" s="224" t="s">
        <v>260</v>
      </c>
      <c r="B5" s="225" t="s">
        <v>261</v>
      </c>
      <c r="C5" s="226"/>
      <c r="D5" s="227"/>
      <c r="E5" s="228"/>
      <c r="F5" s="228"/>
      <c r="G5" s="228">
        <v>3</v>
      </c>
      <c r="H5" s="228"/>
      <c r="I5" s="248"/>
      <c r="J5" s="228"/>
      <c r="K5" s="248"/>
      <c r="L5" s="228">
        <v>16</v>
      </c>
      <c r="M5" s="247">
        <f t="shared" ref="M5:M44" si="0">SUM(E5:L5)</f>
        <v>19</v>
      </c>
      <c r="N5" s="247"/>
      <c r="O5" s="247"/>
      <c r="P5" s="228"/>
      <c r="Q5" s="228"/>
      <c r="R5" s="228"/>
      <c r="S5" s="228"/>
      <c r="T5" s="228"/>
      <c r="U5" s="228"/>
      <c r="V5" s="228"/>
      <c r="W5" s="228"/>
      <c r="X5" s="247">
        <f t="shared" ref="X5:X44" si="1">SUM(N5:W5)</f>
        <v>0</v>
      </c>
      <c r="Y5" s="247"/>
      <c r="Z5" s="247"/>
      <c r="AA5" s="228"/>
      <c r="AB5" s="228"/>
      <c r="AC5" s="247">
        <f t="shared" ref="AC5:AC44" si="2">SUM(Y5:AB5)</f>
        <v>0</v>
      </c>
      <c r="AD5" s="247">
        <f t="shared" ref="AD5:AD10" si="3">SUM(M5,X5,AC5)</f>
        <v>19</v>
      </c>
      <c r="AE5" s="247"/>
      <c r="AF5" s="228"/>
      <c r="AG5" s="228"/>
      <c r="AH5" s="228"/>
      <c r="AI5" s="228"/>
      <c r="AJ5" s="228"/>
      <c r="AK5" s="228"/>
      <c r="AL5" s="228">
        <v>1</v>
      </c>
      <c r="AM5" s="258">
        <f t="shared" ref="AM5:AM44" si="4">SUM(AE5:AL5)</f>
        <v>1</v>
      </c>
      <c r="AN5" s="259"/>
      <c r="AO5" s="247"/>
      <c r="AP5" s="228"/>
      <c r="AQ5" s="228"/>
      <c r="AR5" s="228"/>
      <c r="AS5" s="228"/>
      <c r="AT5" s="228"/>
      <c r="AU5" s="228"/>
      <c r="AV5" s="228"/>
      <c r="AW5" s="228"/>
      <c r="AX5" s="247">
        <f t="shared" ref="AX5:AX44" si="5">SUM(AN5:AW5)</f>
        <v>0</v>
      </c>
      <c r="AY5" s="247"/>
      <c r="AZ5" s="247"/>
      <c r="BA5" s="228"/>
      <c r="BB5" s="228"/>
      <c r="BC5" s="247">
        <f t="shared" ref="BC5:BC44" si="6">SUM(AY5:BB5)</f>
        <v>0</v>
      </c>
      <c r="BD5" s="247">
        <f t="shared" ref="BD5:BD44" si="7">SUM(AM5,AX5,BC5)</f>
        <v>1</v>
      </c>
      <c r="BE5" s="247"/>
      <c r="BF5" s="247"/>
      <c r="BG5" s="247"/>
      <c r="BH5" s="247"/>
      <c r="BI5" s="228"/>
      <c r="BJ5" s="228"/>
      <c r="BK5" s="228"/>
      <c r="BL5" s="228">
        <v>2</v>
      </c>
      <c r="BM5" s="247">
        <f t="shared" ref="BM5:BM44" si="8">SUM(BE5:BL5)</f>
        <v>2</v>
      </c>
      <c r="BN5" s="247"/>
      <c r="BO5" s="247"/>
      <c r="BP5" s="247"/>
      <c r="BQ5" s="247"/>
      <c r="BR5" s="247"/>
      <c r="BS5" s="228"/>
      <c r="BT5" s="228"/>
      <c r="BU5" s="228"/>
      <c r="BV5" s="228"/>
      <c r="BW5" s="228"/>
      <c r="BX5" s="262">
        <f>SUM(BN5:BW5)</f>
        <v>0</v>
      </c>
      <c r="BY5" s="247"/>
      <c r="BZ5" s="247"/>
      <c r="CA5" s="228"/>
      <c r="CB5" s="228"/>
      <c r="CC5" s="247">
        <f t="shared" ref="CC5:CC44" si="9">SUM(BY5:CB5)</f>
        <v>0</v>
      </c>
      <c r="CD5" s="262">
        <f t="shared" ref="CD5:CD44" si="10">SUM(BM5,BX5,CC5)</f>
        <v>2</v>
      </c>
      <c r="CE5" s="265">
        <f t="shared" ref="CE5:CE44" si="11">SUM(M5,X5,AC5,BD5,CD5)</f>
        <v>22</v>
      </c>
    </row>
    <row r="6" ht="29.45" customHeight="1" spans="1:83">
      <c r="A6" s="224" t="s">
        <v>106</v>
      </c>
      <c r="B6" s="225" t="s">
        <v>259</v>
      </c>
      <c r="C6" s="226"/>
      <c r="D6" s="227"/>
      <c r="E6" s="228">
        <v>21</v>
      </c>
      <c r="F6" s="228"/>
      <c r="G6" s="228"/>
      <c r="H6" s="228"/>
      <c r="I6" s="228"/>
      <c r="J6" s="228"/>
      <c r="K6" s="228"/>
      <c r="L6" s="228"/>
      <c r="M6" s="247">
        <f t="shared" si="0"/>
        <v>21</v>
      </c>
      <c r="N6" s="247"/>
      <c r="O6" s="247"/>
      <c r="P6" s="228"/>
      <c r="Q6" s="228"/>
      <c r="R6" s="228"/>
      <c r="S6" s="228"/>
      <c r="T6" s="228"/>
      <c r="U6" s="228"/>
      <c r="V6" s="228"/>
      <c r="W6" s="228"/>
      <c r="X6" s="247">
        <f t="shared" si="1"/>
        <v>0</v>
      </c>
      <c r="Y6" s="247"/>
      <c r="Z6" s="247"/>
      <c r="AA6" s="228"/>
      <c r="AB6" s="228"/>
      <c r="AC6" s="247">
        <f t="shared" si="2"/>
        <v>0</v>
      </c>
      <c r="AD6" s="247">
        <f t="shared" si="3"/>
        <v>21</v>
      </c>
      <c r="AE6" s="247"/>
      <c r="AF6" s="228"/>
      <c r="AG6" s="228"/>
      <c r="AH6" s="228"/>
      <c r="AI6" s="228"/>
      <c r="AJ6" s="228"/>
      <c r="AK6" s="228"/>
      <c r="AL6" s="228"/>
      <c r="AM6" s="258">
        <f t="shared" si="4"/>
        <v>0</v>
      </c>
      <c r="AN6" s="259"/>
      <c r="AO6" s="247"/>
      <c r="AP6" s="228"/>
      <c r="AQ6" s="228"/>
      <c r="AR6" s="228"/>
      <c r="AS6" s="228"/>
      <c r="AT6" s="228"/>
      <c r="AU6" s="228"/>
      <c r="AV6" s="228"/>
      <c r="AW6" s="228"/>
      <c r="AX6" s="247">
        <f t="shared" si="5"/>
        <v>0</v>
      </c>
      <c r="AY6" s="247"/>
      <c r="AZ6" s="247"/>
      <c r="BA6" s="228"/>
      <c r="BB6" s="228"/>
      <c r="BC6" s="247">
        <f t="shared" si="6"/>
        <v>0</v>
      </c>
      <c r="BD6" s="247">
        <f t="shared" si="7"/>
        <v>0</v>
      </c>
      <c r="BE6" s="247">
        <v>2</v>
      </c>
      <c r="BF6" s="247"/>
      <c r="BG6" s="247"/>
      <c r="BH6" s="247"/>
      <c r="BI6" s="228"/>
      <c r="BJ6" s="228"/>
      <c r="BK6" s="228"/>
      <c r="BL6" s="228"/>
      <c r="BM6" s="247">
        <f t="shared" si="8"/>
        <v>2</v>
      </c>
      <c r="BN6" s="247"/>
      <c r="BO6" s="247"/>
      <c r="BP6" s="247"/>
      <c r="BQ6" s="247"/>
      <c r="BR6" s="247"/>
      <c r="BS6" s="228"/>
      <c r="BT6" s="228"/>
      <c r="BU6" s="228"/>
      <c r="BV6" s="228"/>
      <c r="BW6" s="228"/>
      <c r="BX6" s="262">
        <f t="shared" ref="BX6:BX44" si="12">SUM(BN6:BW6)</f>
        <v>0</v>
      </c>
      <c r="BY6" s="247"/>
      <c r="BZ6" s="247"/>
      <c r="CA6" s="228"/>
      <c r="CB6" s="228"/>
      <c r="CC6" s="247">
        <f t="shared" si="9"/>
        <v>0</v>
      </c>
      <c r="CD6" s="262">
        <f t="shared" si="10"/>
        <v>2</v>
      </c>
      <c r="CE6" s="265">
        <f t="shared" si="11"/>
        <v>23</v>
      </c>
    </row>
    <row r="7" ht="27" customHeight="1" spans="1:83">
      <c r="A7" s="224" t="s">
        <v>262</v>
      </c>
      <c r="B7" s="225" t="s">
        <v>259</v>
      </c>
      <c r="C7" s="226"/>
      <c r="D7" s="227"/>
      <c r="E7" s="228"/>
      <c r="F7" s="228"/>
      <c r="G7" s="228">
        <v>18</v>
      </c>
      <c r="H7" s="228"/>
      <c r="I7" s="228"/>
      <c r="J7" s="228"/>
      <c r="K7" s="228"/>
      <c r="L7" s="228"/>
      <c r="M7" s="247">
        <f t="shared" si="0"/>
        <v>18</v>
      </c>
      <c r="N7" s="247"/>
      <c r="O7" s="247"/>
      <c r="P7" s="228"/>
      <c r="Q7" s="228"/>
      <c r="R7" s="228"/>
      <c r="S7" s="228"/>
      <c r="T7" s="228"/>
      <c r="U7" s="228"/>
      <c r="V7" s="228"/>
      <c r="W7" s="228"/>
      <c r="X7" s="247">
        <f t="shared" si="1"/>
        <v>0</v>
      </c>
      <c r="Y7" s="247"/>
      <c r="Z7" s="247"/>
      <c r="AA7" s="228"/>
      <c r="AB7" s="228"/>
      <c r="AC7" s="247">
        <f t="shared" si="2"/>
        <v>0</v>
      </c>
      <c r="AD7" s="247">
        <f t="shared" si="3"/>
        <v>18</v>
      </c>
      <c r="AE7" s="247"/>
      <c r="AF7" s="228"/>
      <c r="AG7" s="228"/>
      <c r="AH7" s="228"/>
      <c r="AI7" s="228"/>
      <c r="AJ7" s="228"/>
      <c r="AK7" s="228"/>
      <c r="AL7" s="228"/>
      <c r="AM7" s="258">
        <f t="shared" si="4"/>
        <v>0</v>
      </c>
      <c r="AN7" s="259"/>
      <c r="AO7" s="247"/>
      <c r="AP7" s="228"/>
      <c r="AQ7" s="228"/>
      <c r="AR7" s="228"/>
      <c r="AS7" s="228"/>
      <c r="AT7" s="228"/>
      <c r="AU7" s="228"/>
      <c r="AV7" s="228"/>
      <c r="AW7" s="228"/>
      <c r="AX7" s="247">
        <f t="shared" si="5"/>
        <v>0</v>
      </c>
      <c r="AY7" s="247"/>
      <c r="AZ7" s="247"/>
      <c r="BA7" s="228"/>
      <c r="BB7" s="228"/>
      <c r="BC7" s="247">
        <f t="shared" si="6"/>
        <v>0</v>
      </c>
      <c r="BD7" s="247">
        <f t="shared" si="7"/>
        <v>0</v>
      </c>
      <c r="BE7" s="247"/>
      <c r="BF7" s="247"/>
      <c r="BG7" s="247">
        <v>1</v>
      </c>
      <c r="BH7" s="247"/>
      <c r="BI7" s="228"/>
      <c r="BJ7" s="228"/>
      <c r="BK7" s="228"/>
      <c r="BL7" s="228"/>
      <c r="BM7" s="247">
        <f t="shared" si="8"/>
        <v>1</v>
      </c>
      <c r="BN7" s="247"/>
      <c r="BO7" s="247"/>
      <c r="BP7" s="247"/>
      <c r="BQ7" s="247"/>
      <c r="BR7" s="247"/>
      <c r="BS7" s="228"/>
      <c r="BT7" s="228"/>
      <c r="BU7" s="228"/>
      <c r="BV7" s="228"/>
      <c r="BW7" s="228"/>
      <c r="BX7" s="262">
        <f t="shared" si="12"/>
        <v>0</v>
      </c>
      <c r="BY7" s="247"/>
      <c r="BZ7" s="247"/>
      <c r="CA7" s="228"/>
      <c r="CB7" s="228"/>
      <c r="CC7" s="247">
        <f t="shared" si="9"/>
        <v>0</v>
      </c>
      <c r="CD7" s="262">
        <f t="shared" si="10"/>
        <v>1</v>
      </c>
      <c r="CE7" s="265">
        <f t="shared" si="11"/>
        <v>19</v>
      </c>
    </row>
    <row r="8" ht="30.6" customHeight="1" spans="1:83">
      <c r="A8" s="224" t="s">
        <v>262</v>
      </c>
      <c r="B8" s="225" t="s">
        <v>108</v>
      </c>
      <c r="C8" s="226"/>
      <c r="D8" s="227"/>
      <c r="E8" s="228"/>
      <c r="F8" s="228"/>
      <c r="G8" s="228"/>
      <c r="H8" s="228"/>
      <c r="I8" s="249"/>
      <c r="J8" s="228"/>
      <c r="K8" s="249"/>
      <c r="L8" s="228"/>
      <c r="M8" s="247">
        <f t="shared" si="0"/>
        <v>0</v>
      </c>
      <c r="N8" s="247"/>
      <c r="O8" s="250"/>
      <c r="P8" s="228"/>
      <c r="Q8" s="249"/>
      <c r="R8" s="228"/>
      <c r="S8" s="228">
        <v>1</v>
      </c>
      <c r="T8" s="228">
        <v>1</v>
      </c>
      <c r="U8" s="228"/>
      <c r="V8" s="228">
        <v>1</v>
      </c>
      <c r="W8" s="228"/>
      <c r="X8" s="247">
        <f t="shared" si="1"/>
        <v>3</v>
      </c>
      <c r="Y8" s="247"/>
      <c r="Z8" s="247"/>
      <c r="AA8" s="228"/>
      <c r="AB8" s="228">
        <v>2</v>
      </c>
      <c r="AC8" s="247">
        <f t="shared" si="2"/>
        <v>2</v>
      </c>
      <c r="AD8" s="247">
        <f t="shared" si="3"/>
        <v>5</v>
      </c>
      <c r="AE8" s="247"/>
      <c r="AF8" s="228"/>
      <c r="AG8" s="228"/>
      <c r="AH8" s="228"/>
      <c r="AI8" s="228"/>
      <c r="AJ8" s="228"/>
      <c r="AK8" s="228"/>
      <c r="AL8" s="228"/>
      <c r="AM8" s="258">
        <f t="shared" si="4"/>
        <v>0</v>
      </c>
      <c r="AN8" s="259"/>
      <c r="AO8" s="247"/>
      <c r="AP8" s="228"/>
      <c r="AQ8" s="228"/>
      <c r="AR8" s="228"/>
      <c r="AS8" s="228"/>
      <c r="AT8" s="228"/>
      <c r="AU8" s="228"/>
      <c r="AV8" s="228"/>
      <c r="AW8" s="228"/>
      <c r="AX8" s="247">
        <f t="shared" si="5"/>
        <v>0</v>
      </c>
      <c r="AY8" s="247"/>
      <c r="AZ8" s="247"/>
      <c r="BA8" s="228"/>
      <c r="BB8" s="228"/>
      <c r="BC8" s="247">
        <f t="shared" si="6"/>
        <v>0</v>
      </c>
      <c r="BD8" s="247">
        <f t="shared" si="7"/>
        <v>0</v>
      </c>
      <c r="BE8" s="247"/>
      <c r="BF8" s="247"/>
      <c r="BG8" s="247"/>
      <c r="BH8" s="247"/>
      <c r="BI8" s="228"/>
      <c r="BJ8" s="228"/>
      <c r="BK8" s="228"/>
      <c r="BL8" s="228"/>
      <c r="BM8" s="247">
        <f t="shared" si="8"/>
        <v>0</v>
      </c>
      <c r="BN8" s="247"/>
      <c r="BO8" s="247"/>
      <c r="BP8" s="247"/>
      <c r="BQ8" s="247">
        <v>1</v>
      </c>
      <c r="BR8" s="247"/>
      <c r="BS8" s="228"/>
      <c r="BT8" s="228"/>
      <c r="BU8" s="228"/>
      <c r="BV8" s="228"/>
      <c r="BW8" s="228"/>
      <c r="BX8" s="262">
        <f t="shared" si="12"/>
        <v>1</v>
      </c>
      <c r="BY8" s="247"/>
      <c r="BZ8" s="247"/>
      <c r="CA8" s="228"/>
      <c r="CB8" s="228"/>
      <c r="CC8" s="247">
        <f t="shared" si="9"/>
        <v>0</v>
      </c>
      <c r="CD8" s="262">
        <f t="shared" si="10"/>
        <v>1</v>
      </c>
      <c r="CE8" s="265">
        <f t="shared" si="11"/>
        <v>6</v>
      </c>
    </row>
    <row r="9" ht="27" spans="1:83">
      <c r="A9" s="224" t="s">
        <v>57</v>
      </c>
      <c r="B9" s="225" t="s">
        <v>259</v>
      </c>
      <c r="C9" s="226"/>
      <c r="D9" s="227"/>
      <c r="E9" s="228"/>
      <c r="F9" s="228"/>
      <c r="G9" s="228"/>
      <c r="H9" s="228"/>
      <c r="I9" s="228">
        <v>20</v>
      </c>
      <c r="J9" s="228"/>
      <c r="K9" s="228"/>
      <c r="L9" s="228"/>
      <c r="M9" s="247">
        <f t="shared" si="0"/>
        <v>20</v>
      </c>
      <c r="N9" s="247"/>
      <c r="O9" s="247">
        <v>1</v>
      </c>
      <c r="P9" s="228"/>
      <c r="Q9" s="228">
        <v>1</v>
      </c>
      <c r="R9" s="228"/>
      <c r="S9" s="228"/>
      <c r="T9" s="228"/>
      <c r="U9" s="228"/>
      <c r="V9" s="228"/>
      <c r="W9" s="228"/>
      <c r="X9" s="247">
        <f t="shared" si="1"/>
        <v>2</v>
      </c>
      <c r="Y9" s="247"/>
      <c r="Z9" s="247"/>
      <c r="AA9" s="228"/>
      <c r="AB9" s="228"/>
      <c r="AC9" s="247">
        <f t="shared" si="2"/>
        <v>0</v>
      </c>
      <c r="AD9" s="247">
        <f t="shared" si="3"/>
        <v>22</v>
      </c>
      <c r="AE9" s="247"/>
      <c r="AF9" s="228"/>
      <c r="AG9" s="228"/>
      <c r="AH9" s="228"/>
      <c r="AI9" s="228"/>
      <c r="AJ9" s="228"/>
      <c r="AK9" s="228"/>
      <c r="AL9" s="228"/>
      <c r="AM9" s="258">
        <f t="shared" si="4"/>
        <v>0</v>
      </c>
      <c r="AN9" s="259"/>
      <c r="AO9" s="247"/>
      <c r="AP9" s="228"/>
      <c r="AQ9" s="228"/>
      <c r="AR9" s="228"/>
      <c r="AS9" s="228"/>
      <c r="AT9" s="228"/>
      <c r="AU9" s="228"/>
      <c r="AV9" s="228"/>
      <c r="AW9" s="228"/>
      <c r="AX9" s="247">
        <f t="shared" si="5"/>
        <v>0</v>
      </c>
      <c r="AY9" s="247"/>
      <c r="AZ9" s="247"/>
      <c r="BA9" s="228"/>
      <c r="BB9" s="228"/>
      <c r="BC9" s="247">
        <f t="shared" si="6"/>
        <v>0</v>
      </c>
      <c r="BD9" s="247">
        <f t="shared" si="7"/>
        <v>0</v>
      </c>
      <c r="BE9" s="247"/>
      <c r="BF9" s="247"/>
      <c r="BG9" s="247"/>
      <c r="BH9" s="247"/>
      <c r="BI9" s="228">
        <v>2</v>
      </c>
      <c r="BJ9" s="228"/>
      <c r="BK9" s="228"/>
      <c r="BL9" s="228"/>
      <c r="BM9" s="247">
        <f t="shared" si="8"/>
        <v>2</v>
      </c>
      <c r="BN9" s="247"/>
      <c r="BO9" s="247"/>
      <c r="BP9" s="247"/>
      <c r="BQ9" s="247"/>
      <c r="BR9" s="247"/>
      <c r="BS9" s="228"/>
      <c r="BT9" s="228"/>
      <c r="BU9" s="228"/>
      <c r="BV9" s="228"/>
      <c r="BW9" s="228"/>
      <c r="BX9" s="262">
        <f t="shared" si="12"/>
        <v>0</v>
      </c>
      <c r="BY9" s="247"/>
      <c r="BZ9" s="247"/>
      <c r="CA9" s="228"/>
      <c r="CB9" s="228"/>
      <c r="CC9" s="247">
        <f t="shared" si="9"/>
        <v>0</v>
      </c>
      <c r="CD9" s="262">
        <f t="shared" si="10"/>
        <v>2</v>
      </c>
      <c r="CE9" s="265">
        <f t="shared" si="11"/>
        <v>24</v>
      </c>
    </row>
    <row r="10" ht="27" spans="1:83">
      <c r="A10" s="224" t="s">
        <v>263</v>
      </c>
      <c r="B10" s="225" t="s">
        <v>259</v>
      </c>
      <c r="C10" s="226"/>
      <c r="D10" s="227"/>
      <c r="E10" s="228"/>
      <c r="F10" s="228"/>
      <c r="G10" s="228"/>
      <c r="H10" s="228">
        <v>17</v>
      </c>
      <c r="I10" s="228"/>
      <c r="J10" s="228"/>
      <c r="K10" s="228"/>
      <c r="L10" s="228"/>
      <c r="M10" s="247">
        <f t="shared" si="0"/>
        <v>17</v>
      </c>
      <c r="N10" s="247"/>
      <c r="O10" s="247"/>
      <c r="P10" s="228"/>
      <c r="Q10" s="228"/>
      <c r="R10" s="228"/>
      <c r="S10" s="228"/>
      <c r="T10" s="228"/>
      <c r="U10" s="228"/>
      <c r="V10" s="228"/>
      <c r="W10" s="228"/>
      <c r="X10" s="247">
        <f t="shared" si="1"/>
        <v>0</v>
      </c>
      <c r="Y10" s="247"/>
      <c r="Z10" s="247"/>
      <c r="AA10" s="228"/>
      <c r="AB10" s="228"/>
      <c r="AC10" s="247">
        <f t="shared" si="2"/>
        <v>0</v>
      </c>
      <c r="AD10" s="247">
        <f t="shared" si="3"/>
        <v>17</v>
      </c>
      <c r="AE10" s="247"/>
      <c r="AF10" s="228"/>
      <c r="AG10" s="228"/>
      <c r="AH10" s="228">
        <v>1</v>
      </c>
      <c r="AI10" s="228"/>
      <c r="AJ10" s="228"/>
      <c r="AK10" s="228"/>
      <c r="AL10" s="228"/>
      <c r="AM10" s="258">
        <f t="shared" si="4"/>
        <v>1</v>
      </c>
      <c r="AN10" s="259"/>
      <c r="AO10" s="247"/>
      <c r="AP10" s="228"/>
      <c r="AQ10" s="228"/>
      <c r="AR10" s="228"/>
      <c r="AS10" s="228"/>
      <c r="AT10" s="228"/>
      <c r="AU10" s="228"/>
      <c r="AV10" s="228"/>
      <c r="AW10" s="228"/>
      <c r="AX10" s="247">
        <f t="shared" si="5"/>
        <v>0</v>
      </c>
      <c r="AY10" s="247"/>
      <c r="AZ10" s="247"/>
      <c r="BA10" s="228"/>
      <c r="BB10" s="228"/>
      <c r="BC10" s="247">
        <f t="shared" si="6"/>
        <v>0</v>
      </c>
      <c r="BD10" s="247">
        <f t="shared" si="7"/>
        <v>1</v>
      </c>
      <c r="BE10" s="247"/>
      <c r="BF10" s="247"/>
      <c r="BG10" s="247"/>
      <c r="BH10" s="247">
        <v>1</v>
      </c>
      <c r="BI10" s="228"/>
      <c r="BJ10" s="228"/>
      <c r="BK10" s="228"/>
      <c r="BL10" s="228"/>
      <c r="BM10" s="247">
        <f t="shared" si="8"/>
        <v>1</v>
      </c>
      <c r="BN10" s="247"/>
      <c r="BO10" s="247"/>
      <c r="BP10" s="247"/>
      <c r="BQ10" s="247"/>
      <c r="BR10" s="247"/>
      <c r="BS10" s="228"/>
      <c r="BT10" s="228"/>
      <c r="BU10" s="228"/>
      <c r="BV10" s="228"/>
      <c r="BW10" s="228"/>
      <c r="BX10" s="262">
        <f t="shared" si="12"/>
        <v>0</v>
      </c>
      <c r="BY10" s="247"/>
      <c r="BZ10" s="247"/>
      <c r="CA10" s="228"/>
      <c r="CB10" s="228"/>
      <c r="CC10" s="247">
        <f t="shared" si="9"/>
        <v>0</v>
      </c>
      <c r="CD10" s="262">
        <f t="shared" si="10"/>
        <v>1</v>
      </c>
      <c r="CE10" s="265">
        <f t="shared" si="11"/>
        <v>19</v>
      </c>
    </row>
    <row r="11" ht="27" spans="1:83">
      <c r="A11" s="224" t="s">
        <v>264</v>
      </c>
      <c r="B11" s="225" t="s">
        <v>259</v>
      </c>
      <c r="C11" s="226"/>
      <c r="D11" s="227"/>
      <c r="E11" s="228"/>
      <c r="F11" s="228">
        <v>13</v>
      </c>
      <c r="G11" s="228"/>
      <c r="H11" s="228"/>
      <c r="I11" s="228"/>
      <c r="J11" s="228"/>
      <c r="K11" s="228"/>
      <c r="L11" s="228"/>
      <c r="M11" s="247">
        <f t="shared" si="0"/>
        <v>13</v>
      </c>
      <c r="N11" s="247"/>
      <c r="O11" s="247"/>
      <c r="P11" s="228"/>
      <c r="Q11" s="228"/>
      <c r="R11" s="228"/>
      <c r="S11" s="228"/>
      <c r="T11" s="228"/>
      <c r="U11" s="228"/>
      <c r="V11" s="228"/>
      <c r="W11" s="228"/>
      <c r="X11" s="247">
        <f t="shared" si="1"/>
        <v>0</v>
      </c>
      <c r="Y11" s="247"/>
      <c r="Z11" s="247"/>
      <c r="AA11" s="228"/>
      <c r="AB11" s="228"/>
      <c r="AC11" s="247">
        <f t="shared" si="2"/>
        <v>0</v>
      </c>
      <c r="AD11" s="247">
        <f t="shared" ref="AD11:AD44" si="13">SUM(M11,X11,AC11)</f>
        <v>13</v>
      </c>
      <c r="AE11" s="247"/>
      <c r="AF11" s="228"/>
      <c r="AG11" s="228"/>
      <c r="AH11" s="228"/>
      <c r="AI11" s="228"/>
      <c r="AJ11" s="228"/>
      <c r="AK11" s="228"/>
      <c r="AL11" s="228"/>
      <c r="AM11" s="258">
        <f t="shared" si="4"/>
        <v>0</v>
      </c>
      <c r="AN11" s="259"/>
      <c r="AO11" s="247"/>
      <c r="AP11" s="228"/>
      <c r="AQ11" s="228"/>
      <c r="AR11" s="228"/>
      <c r="AS11" s="228"/>
      <c r="AT11" s="228"/>
      <c r="AU11" s="228"/>
      <c r="AV11" s="228"/>
      <c r="AW11" s="228"/>
      <c r="AX11" s="247">
        <f t="shared" si="5"/>
        <v>0</v>
      </c>
      <c r="AY11" s="247"/>
      <c r="AZ11" s="247"/>
      <c r="BA11" s="228"/>
      <c r="BB11" s="228"/>
      <c r="BC11" s="247">
        <f t="shared" si="6"/>
        <v>0</v>
      </c>
      <c r="BD11" s="247">
        <f t="shared" si="7"/>
        <v>0</v>
      </c>
      <c r="BE11" s="247"/>
      <c r="BF11" s="247">
        <v>2</v>
      </c>
      <c r="BG11" s="247"/>
      <c r="BH11" s="247"/>
      <c r="BI11" s="228"/>
      <c r="BJ11" s="228"/>
      <c r="BK11" s="228"/>
      <c r="BL11" s="228"/>
      <c r="BM11" s="247">
        <f t="shared" si="8"/>
        <v>2</v>
      </c>
      <c r="BN11" s="247"/>
      <c r="BO11" s="247"/>
      <c r="BP11" s="247"/>
      <c r="BQ11" s="247"/>
      <c r="BR11" s="247"/>
      <c r="BS11" s="228"/>
      <c r="BT11" s="228"/>
      <c r="BU11" s="228"/>
      <c r="BV11" s="228"/>
      <c r="BW11" s="228"/>
      <c r="BX11" s="262">
        <f t="shared" si="12"/>
        <v>0</v>
      </c>
      <c r="BY11" s="247"/>
      <c r="BZ11" s="247"/>
      <c r="CA11" s="228"/>
      <c r="CB11" s="228"/>
      <c r="CC11" s="247">
        <f t="shared" si="9"/>
        <v>0</v>
      </c>
      <c r="CD11" s="262">
        <f t="shared" si="10"/>
        <v>2</v>
      </c>
      <c r="CE11" s="265">
        <f t="shared" si="11"/>
        <v>15</v>
      </c>
    </row>
    <row r="12" ht="27" spans="1:83">
      <c r="A12" s="224" t="s">
        <v>264</v>
      </c>
      <c r="B12" s="225" t="s">
        <v>265</v>
      </c>
      <c r="C12" s="226"/>
      <c r="D12" s="227"/>
      <c r="E12" s="228"/>
      <c r="F12" s="228">
        <v>1</v>
      </c>
      <c r="G12" s="228"/>
      <c r="H12" s="228">
        <v>1</v>
      </c>
      <c r="I12" s="228"/>
      <c r="J12" s="228">
        <v>1</v>
      </c>
      <c r="K12" s="228"/>
      <c r="L12" s="228">
        <v>1</v>
      </c>
      <c r="M12" s="247">
        <f t="shared" si="0"/>
        <v>4</v>
      </c>
      <c r="N12" s="247">
        <v>1</v>
      </c>
      <c r="O12" s="247"/>
      <c r="P12" s="228">
        <v>1</v>
      </c>
      <c r="Q12" s="228"/>
      <c r="R12" s="228">
        <v>1</v>
      </c>
      <c r="S12" s="228"/>
      <c r="T12" s="228"/>
      <c r="U12" s="228">
        <v>1</v>
      </c>
      <c r="V12" s="228"/>
      <c r="W12" s="228">
        <v>1</v>
      </c>
      <c r="X12" s="247">
        <f t="shared" si="1"/>
        <v>5</v>
      </c>
      <c r="Y12" s="247"/>
      <c r="Z12" s="247">
        <v>0.5</v>
      </c>
      <c r="AA12" s="228">
        <v>0.5</v>
      </c>
      <c r="AB12" s="228"/>
      <c r="AC12" s="247">
        <f t="shared" si="2"/>
        <v>1</v>
      </c>
      <c r="AD12" s="247">
        <f t="shared" si="13"/>
        <v>10</v>
      </c>
      <c r="AE12" s="247"/>
      <c r="AF12" s="228"/>
      <c r="AG12" s="228"/>
      <c r="AH12" s="228"/>
      <c r="AI12" s="228"/>
      <c r="AJ12" s="228"/>
      <c r="AK12" s="228"/>
      <c r="AL12" s="228"/>
      <c r="AM12" s="258">
        <f t="shared" si="4"/>
        <v>0</v>
      </c>
      <c r="AN12" s="259"/>
      <c r="AO12" s="247"/>
      <c r="AP12" s="228"/>
      <c r="AQ12" s="228"/>
      <c r="AR12" s="228"/>
      <c r="AS12" s="228"/>
      <c r="AT12" s="228"/>
      <c r="AU12" s="228"/>
      <c r="AV12" s="228"/>
      <c r="AW12" s="228"/>
      <c r="AX12" s="247">
        <f t="shared" si="5"/>
        <v>0</v>
      </c>
      <c r="AY12" s="247"/>
      <c r="AZ12" s="247"/>
      <c r="BA12" s="228"/>
      <c r="BB12" s="228"/>
      <c r="BC12" s="247">
        <f t="shared" si="6"/>
        <v>0</v>
      </c>
      <c r="BD12" s="247">
        <f t="shared" si="7"/>
        <v>0</v>
      </c>
      <c r="BE12" s="247"/>
      <c r="BF12" s="247"/>
      <c r="BG12" s="247"/>
      <c r="BH12" s="247"/>
      <c r="BI12" s="228"/>
      <c r="BJ12" s="228"/>
      <c r="BK12" s="228"/>
      <c r="BL12" s="228"/>
      <c r="BM12" s="247">
        <f t="shared" si="8"/>
        <v>0</v>
      </c>
      <c r="BN12" s="247"/>
      <c r="BO12" s="247"/>
      <c r="BP12" s="247"/>
      <c r="BQ12" s="247"/>
      <c r="BR12" s="247"/>
      <c r="BS12" s="228"/>
      <c r="BT12" s="228"/>
      <c r="BU12" s="228"/>
      <c r="BV12" s="228"/>
      <c r="BW12" s="228"/>
      <c r="BX12" s="262">
        <f t="shared" si="12"/>
        <v>0</v>
      </c>
      <c r="BY12" s="247"/>
      <c r="BZ12" s="247"/>
      <c r="CA12" s="228"/>
      <c r="CB12" s="228"/>
      <c r="CC12" s="247">
        <f t="shared" si="9"/>
        <v>0</v>
      </c>
      <c r="CD12" s="262">
        <f t="shared" si="10"/>
        <v>0</v>
      </c>
      <c r="CE12" s="265">
        <f t="shared" si="11"/>
        <v>10</v>
      </c>
    </row>
    <row r="13" ht="27" spans="1:83">
      <c r="A13" s="224" t="s">
        <v>84</v>
      </c>
      <c r="B13" s="225" t="s">
        <v>259</v>
      </c>
      <c r="C13" s="226"/>
      <c r="D13" s="227"/>
      <c r="E13" s="228"/>
      <c r="F13" s="228"/>
      <c r="G13" s="228"/>
      <c r="H13" s="228"/>
      <c r="I13" s="228"/>
      <c r="J13" s="228">
        <v>19</v>
      </c>
      <c r="K13" s="228"/>
      <c r="L13" s="228"/>
      <c r="M13" s="247">
        <f t="shared" si="0"/>
        <v>19</v>
      </c>
      <c r="N13" s="247"/>
      <c r="O13" s="247"/>
      <c r="P13" s="228"/>
      <c r="Q13" s="228"/>
      <c r="R13" s="228"/>
      <c r="S13" s="228"/>
      <c r="T13" s="228"/>
      <c r="U13" s="228"/>
      <c r="V13" s="228"/>
      <c r="W13" s="228"/>
      <c r="X13" s="247">
        <f t="shared" si="1"/>
        <v>0</v>
      </c>
      <c r="Y13" s="247"/>
      <c r="Z13" s="247"/>
      <c r="AA13" s="228"/>
      <c r="AB13" s="228"/>
      <c r="AC13" s="247">
        <f t="shared" si="2"/>
        <v>0</v>
      </c>
      <c r="AD13" s="247">
        <f t="shared" si="13"/>
        <v>19</v>
      </c>
      <c r="AE13" s="247"/>
      <c r="AF13" s="228"/>
      <c r="AG13" s="228"/>
      <c r="AH13" s="228"/>
      <c r="AI13" s="228"/>
      <c r="AJ13" s="228">
        <v>1</v>
      </c>
      <c r="AK13" s="228"/>
      <c r="AL13" s="228"/>
      <c r="AM13" s="258">
        <f t="shared" si="4"/>
        <v>1</v>
      </c>
      <c r="AN13" s="259"/>
      <c r="AO13" s="247"/>
      <c r="AP13" s="228"/>
      <c r="AQ13" s="228">
        <v>1</v>
      </c>
      <c r="AR13" s="228"/>
      <c r="AS13" s="228"/>
      <c r="AT13" s="228"/>
      <c r="AU13" s="228"/>
      <c r="AV13" s="228"/>
      <c r="AW13" s="228"/>
      <c r="AX13" s="247">
        <f t="shared" si="5"/>
        <v>1</v>
      </c>
      <c r="AY13" s="247"/>
      <c r="AZ13" s="247">
        <v>0.5</v>
      </c>
      <c r="BA13" s="228">
        <v>0.5</v>
      </c>
      <c r="BB13" s="228"/>
      <c r="BC13" s="247">
        <f t="shared" si="6"/>
        <v>1</v>
      </c>
      <c r="BD13" s="247">
        <f t="shared" si="7"/>
        <v>3</v>
      </c>
      <c r="BE13" s="247"/>
      <c r="BF13" s="247"/>
      <c r="BG13" s="247"/>
      <c r="BH13" s="247"/>
      <c r="BI13" s="228"/>
      <c r="BJ13" s="228">
        <v>2</v>
      </c>
      <c r="BK13" s="228"/>
      <c r="BL13" s="228"/>
      <c r="BM13" s="247">
        <f t="shared" si="8"/>
        <v>2</v>
      </c>
      <c r="BN13" s="247"/>
      <c r="BO13" s="247"/>
      <c r="BP13" s="247"/>
      <c r="BQ13" s="247"/>
      <c r="BR13" s="247"/>
      <c r="BS13" s="228"/>
      <c r="BT13" s="228"/>
      <c r="BU13" s="228"/>
      <c r="BV13" s="228"/>
      <c r="BW13" s="228"/>
      <c r="BX13" s="262">
        <f t="shared" si="12"/>
        <v>0</v>
      </c>
      <c r="BY13" s="247"/>
      <c r="BZ13" s="247"/>
      <c r="CA13" s="228"/>
      <c r="CB13" s="228"/>
      <c r="CC13" s="247">
        <f t="shared" si="9"/>
        <v>0</v>
      </c>
      <c r="CD13" s="262">
        <f t="shared" si="10"/>
        <v>2</v>
      </c>
      <c r="CE13" s="265">
        <f t="shared" si="11"/>
        <v>24</v>
      </c>
    </row>
    <row r="14" ht="27" spans="1:83">
      <c r="A14" s="229" t="s">
        <v>122</v>
      </c>
      <c r="B14" s="225" t="s">
        <v>266</v>
      </c>
      <c r="C14" s="226"/>
      <c r="D14" s="227"/>
      <c r="E14" s="228"/>
      <c r="F14" s="228"/>
      <c r="G14" s="228">
        <v>1</v>
      </c>
      <c r="H14" s="228"/>
      <c r="I14" s="228">
        <v>1</v>
      </c>
      <c r="J14" s="228"/>
      <c r="K14" s="228">
        <v>1</v>
      </c>
      <c r="L14" s="228"/>
      <c r="M14" s="247">
        <f t="shared" si="0"/>
        <v>3</v>
      </c>
      <c r="N14" s="247"/>
      <c r="O14" s="247">
        <v>1</v>
      </c>
      <c r="P14" s="228"/>
      <c r="Q14" s="228">
        <v>1</v>
      </c>
      <c r="R14" s="228"/>
      <c r="S14" s="228">
        <v>1</v>
      </c>
      <c r="T14" s="228">
        <v>1</v>
      </c>
      <c r="U14" s="228"/>
      <c r="V14" s="228">
        <v>1</v>
      </c>
      <c r="W14" s="228"/>
      <c r="X14" s="247">
        <f t="shared" si="1"/>
        <v>5</v>
      </c>
      <c r="Y14" s="247"/>
      <c r="Z14" s="247"/>
      <c r="AA14" s="228"/>
      <c r="AB14" s="228">
        <v>1</v>
      </c>
      <c r="AC14" s="247">
        <f t="shared" si="2"/>
        <v>1</v>
      </c>
      <c r="AD14" s="247">
        <f t="shared" si="13"/>
        <v>9</v>
      </c>
      <c r="AE14" s="247"/>
      <c r="AF14" s="228"/>
      <c r="AG14" s="228"/>
      <c r="AH14" s="228"/>
      <c r="AI14" s="228"/>
      <c r="AJ14" s="228"/>
      <c r="AK14" s="228"/>
      <c r="AL14" s="228"/>
      <c r="AM14" s="258">
        <f t="shared" si="4"/>
        <v>0</v>
      </c>
      <c r="AN14" s="259"/>
      <c r="AO14" s="247"/>
      <c r="AP14" s="228"/>
      <c r="AQ14" s="228"/>
      <c r="AR14" s="228"/>
      <c r="AS14" s="228"/>
      <c r="AT14" s="228"/>
      <c r="AU14" s="228"/>
      <c r="AV14" s="228"/>
      <c r="AW14" s="228"/>
      <c r="AX14" s="247">
        <f t="shared" si="5"/>
        <v>0</v>
      </c>
      <c r="AY14" s="247"/>
      <c r="AZ14" s="247"/>
      <c r="BA14" s="228"/>
      <c r="BB14" s="228"/>
      <c r="BC14" s="247">
        <f t="shared" si="6"/>
        <v>0</v>
      </c>
      <c r="BD14" s="247">
        <f t="shared" si="7"/>
        <v>0</v>
      </c>
      <c r="BE14" s="247"/>
      <c r="BF14" s="247"/>
      <c r="BG14" s="247"/>
      <c r="BH14" s="247"/>
      <c r="BI14" s="228"/>
      <c r="BJ14" s="228"/>
      <c r="BK14" s="228"/>
      <c r="BL14" s="228"/>
      <c r="BM14" s="247">
        <f t="shared" si="8"/>
        <v>0</v>
      </c>
      <c r="BN14" s="247"/>
      <c r="BO14" s="247"/>
      <c r="BP14" s="247"/>
      <c r="BQ14" s="247"/>
      <c r="BR14" s="247"/>
      <c r="BS14" s="228"/>
      <c r="BT14" s="228"/>
      <c r="BU14" s="228"/>
      <c r="BV14" s="228"/>
      <c r="BW14" s="228"/>
      <c r="BX14" s="262">
        <f t="shared" si="12"/>
        <v>0</v>
      </c>
      <c r="BY14" s="247"/>
      <c r="BZ14" s="247"/>
      <c r="CA14" s="228"/>
      <c r="CB14" s="228"/>
      <c r="CC14" s="247">
        <f t="shared" si="9"/>
        <v>0</v>
      </c>
      <c r="CD14" s="262">
        <f t="shared" si="10"/>
        <v>0</v>
      </c>
      <c r="CE14" s="265">
        <f t="shared" si="11"/>
        <v>9</v>
      </c>
    </row>
    <row r="15" ht="27" spans="1:83">
      <c r="A15" s="224" t="s">
        <v>62</v>
      </c>
      <c r="B15" s="225" t="s">
        <v>267</v>
      </c>
      <c r="C15" s="226"/>
      <c r="D15" s="227"/>
      <c r="E15" s="228">
        <v>4</v>
      </c>
      <c r="F15" s="228"/>
      <c r="G15" s="228">
        <v>2</v>
      </c>
      <c r="H15" s="228"/>
      <c r="I15" s="228">
        <v>2</v>
      </c>
      <c r="J15" s="228"/>
      <c r="K15" s="228">
        <v>2</v>
      </c>
      <c r="L15" s="228"/>
      <c r="M15" s="247">
        <f t="shared" si="0"/>
        <v>10</v>
      </c>
      <c r="N15" s="247"/>
      <c r="O15" s="247">
        <v>3</v>
      </c>
      <c r="P15" s="228"/>
      <c r="Q15" s="228">
        <v>3</v>
      </c>
      <c r="R15" s="228"/>
      <c r="S15" s="228">
        <v>3</v>
      </c>
      <c r="T15" s="228">
        <v>3</v>
      </c>
      <c r="U15" s="228"/>
      <c r="V15" s="228">
        <v>3</v>
      </c>
      <c r="W15" s="228"/>
      <c r="X15" s="247">
        <f t="shared" si="1"/>
        <v>15</v>
      </c>
      <c r="Y15" s="247"/>
      <c r="Z15" s="247"/>
      <c r="AA15" s="228"/>
      <c r="AB15" s="228">
        <v>3</v>
      </c>
      <c r="AC15" s="247">
        <f t="shared" si="2"/>
        <v>3</v>
      </c>
      <c r="AD15" s="247">
        <f t="shared" si="13"/>
        <v>28</v>
      </c>
      <c r="AE15" s="247"/>
      <c r="AF15" s="228"/>
      <c r="AG15" s="228"/>
      <c r="AH15" s="228"/>
      <c r="AI15" s="228"/>
      <c r="AJ15" s="228"/>
      <c r="AK15" s="228"/>
      <c r="AL15" s="228"/>
      <c r="AM15" s="258">
        <f t="shared" si="4"/>
        <v>0</v>
      </c>
      <c r="AN15" s="259"/>
      <c r="AO15" s="247"/>
      <c r="AP15" s="228"/>
      <c r="AQ15" s="228"/>
      <c r="AR15" s="228"/>
      <c r="AS15" s="228"/>
      <c r="AT15" s="228"/>
      <c r="AU15" s="228"/>
      <c r="AV15" s="228"/>
      <c r="AW15" s="228"/>
      <c r="AX15" s="247">
        <f t="shared" si="5"/>
        <v>0</v>
      </c>
      <c r="AY15" s="247"/>
      <c r="AZ15" s="247"/>
      <c r="BA15" s="228"/>
      <c r="BB15" s="228"/>
      <c r="BC15" s="247">
        <f t="shared" si="6"/>
        <v>0</v>
      </c>
      <c r="BD15" s="247">
        <f t="shared" si="7"/>
        <v>0</v>
      </c>
      <c r="BE15" s="247"/>
      <c r="BF15" s="247"/>
      <c r="BG15" s="247"/>
      <c r="BH15" s="247"/>
      <c r="BI15" s="228"/>
      <c r="BJ15" s="228"/>
      <c r="BK15" s="228"/>
      <c r="BL15" s="228"/>
      <c r="BM15" s="247">
        <f t="shared" si="8"/>
        <v>0</v>
      </c>
      <c r="BN15" s="247"/>
      <c r="BO15" s="247"/>
      <c r="BP15" s="247"/>
      <c r="BQ15" s="247"/>
      <c r="BR15" s="247"/>
      <c r="BS15" s="228"/>
      <c r="BT15" s="228"/>
      <c r="BU15" s="228"/>
      <c r="BV15" s="228"/>
      <c r="BW15" s="228"/>
      <c r="BX15" s="262">
        <f t="shared" si="12"/>
        <v>0</v>
      </c>
      <c r="BY15" s="247"/>
      <c r="BZ15" s="247"/>
      <c r="CA15" s="228"/>
      <c r="CB15" s="228"/>
      <c r="CC15" s="247">
        <f t="shared" si="9"/>
        <v>0</v>
      </c>
      <c r="CD15" s="262">
        <f t="shared" si="10"/>
        <v>0</v>
      </c>
      <c r="CE15" s="265">
        <f t="shared" si="11"/>
        <v>28</v>
      </c>
    </row>
    <row r="16" ht="27" spans="1:83">
      <c r="A16" s="230" t="s">
        <v>111</v>
      </c>
      <c r="B16" s="225" t="s">
        <v>267</v>
      </c>
      <c r="C16" s="226"/>
      <c r="D16" s="227">
        <v>4</v>
      </c>
      <c r="E16" s="228"/>
      <c r="F16" s="228">
        <v>2</v>
      </c>
      <c r="G16" s="228"/>
      <c r="H16" s="231">
        <v>2</v>
      </c>
      <c r="I16" s="228"/>
      <c r="J16" s="228">
        <v>2</v>
      </c>
      <c r="K16" s="228"/>
      <c r="L16" s="228">
        <v>2</v>
      </c>
      <c r="M16" s="247">
        <f t="shared" si="0"/>
        <v>8</v>
      </c>
      <c r="N16" s="247">
        <v>3</v>
      </c>
      <c r="O16" s="247"/>
      <c r="P16" s="228">
        <v>3</v>
      </c>
      <c r="Q16" s="228"/>
      <c r="R16" s="228">
        <v>3</v>
      </c>
      <c r="S16" s="228"/>
      <c r="T16" s="228"/>
      <c r="U16" s="228">
        <v>3</v>
      </c>
      <c r="V16" s="228"/>
      <c r="W16" s="228">
        <v>3</v>
      </c>
      <c r="X16" s="247">
        <f t="shared" si="1"/>
        <v>15</v>
      </c>
      <c r="Y16" s="247"/>
      <c r="Z16" s="247">
        <v>1.5</v>
      </c>
      <c r="AA16" s="228">
        <v>1.5</v>
      </c>
      <c r="AB16" s="228"/>
      <c r="AC16" s="247">
        <f t="shared" si="2"/>
        <v>3</v>
      </c>
      <c r="AD16" s="247">
        <f t="shared" si="13"/>
        <v>26</v>
      </c>
      <c r="AE16" s="247"/>
      <c r="AF16" s="228"/>
      <c r="AG16" s="228"/>
      <c r="AH16" s="228"/>
      <c r="AI16" s="228"/>
      <c r="AJ16" s="228"/>
      <c r="AK16" s="228"/>
      <c r="AL16" s="228"/>
      <c r="AM16" s="258">
        <f t="shared" si="4"/>
        <v>0</v>
      </c>
      <c r="AN16" s="259"/>
      <c r="AO16" s="247"/>
      <c r="AP16" s="228"/>
      <c r="AQ16" s="228"/>
      <c r="AR16" s="228"/>
      <c r="AS16" s="228"/>
      <c r="AT16" s="228"/>
      <c r="AU16" s="228"/>
      <c r="AV16" s="228"/>
      <c r="AW16" s="228"/>
      <c r="AX16" s="247">
        <f t="shared" si="5"/>
        <v>0</v>
      </c>
      <c r="AY16" s="247"/>
      <c r="AZ16" s="247"/>
      <c r="BA16" s="228"/>
      <c r="BB16" s="228"/>
      <c r="BC16" s="247">
        <f t="shared" si="6"/>
        <v>0</v>
      </c>
      <c r="BD16" s="247">
        <f t="shared" si="7"/>
        <v>0</v>
      </c>
      <c r="BE16" s="247"/>
      <c r="BF16" s="247"/>
      <c r="BG16" s="247"/>
      <c r="BH16" s="247"/>
      <c r="BI16" s="228"/>
      <c r="BJ16" s="228"/>
      <c r="BK16" s="228"/>
      <c r="BL16" s="228"/>
      <c r="BM16" s="247">
        <f t="shared" si="8"/>
        <v>0</v>
      </c>
      <c r="BN16" s="247"/>
      <c r="BO16" s="247"/>
      <c r="BP16" s="247"/>
      <c r="BQ16" s="247"/>
      <c r="BR16" s="247"/>
      <c r="BS16" s="228"/>
      <c r="BT16" s="228"/>
      <c r="BU16" s="228"/>
      <c r="BV16" s="228"/>
      <c r="BW16" s="228"/>
      <c r="BX16" s="262">
        <f t="shared" si="12"/>
        <v>0</v>
      </c>
      <c r="BY16" s="247"/>
      <c r="BZ16" s="247"/>
      <c r="CA16" s="228"/>
      <c r="CB16" s="228"/>
      <c r="CC16" s="247">
        <f t="shared" si="9"/>
        <v>0</v>
      </c>
      <c r="CD16" s="262">
        <f t="shared" si="10"/>
        <v>0</v>
      </c>
      <c r="CE16" s="265">
        <f t="shared" si="11"/>
        <v>26</v>
      </c>
    </row>
    <row r="17" ht="27" spans="1:83">
      <c r="A17" s="224" t="s">
        <v>268</v>
      </c>
      <c r="B17" s="225" t="s">
        <v>102</v>
      </c>
      <c r="C17" s="226"/>
      <c r="D17" s="227"/>
      <c r="E17" s="228"/>
      <c r="F17" s="228"/>
      <c r="G17" s="228"/>
      <c r="H17" s="228"/>
      <c r="I17" s="228"/>
      <c r="J17" s="228"/>
      <c r="K17" s="228"/>
      <c r="L17" s="228"/>
      <c r="M17" s="247">
        <f t="shared" si="0"/>
        <v>0</v>
      </c>
      <c r="N17" s="247">
        <v>2</v>
      </c>
      <c r="O17" s="247">
        <v>2</v>
      </c>
      <c r="P17" s="228"/>
      <c r="Q17" s="228"/>
      <c r="R17" s="228">
        <v>2</v>
      </c>
      <c r="S17" s="228">
        <v>2</v>
      </c>
      <c r="T17" s="228">
        <v>2</v>
      </c>
      <c r="U17" s="228">
        <v>2</v>
      </c>
      <c r="V17" s="228">
        <v>2</v>
      </c>
      <c r="W17" s="228">
        <v>2</v>
      </c>
      <c r="X17" s="247">
        <f t="shared" si="1"/>
        <v>16</v>
      </c>
      <c r="Y17" s="247"/>
      <c r="Z17" s="247"/>
      <c r="AA17" s="228">
        <v>2</v>
      </c>
      <c r="AB17" s="228"/>
      <c r="AC17" s="247">
        <f t="shared" si="2"/>
        <v>2</v>
      </c>
      <c r="AD17" s="247">
        <f t="shared" si="13"/>
        <v>18</v>
      </c>
      <c r="AE17" s="247"/>
      <c r="AF17" s="228"/>
      <c r="AG17" s="228"/>
      <c r="AH17" s="228"/>
      <c r="AI17" s="228"/>
      <c r="AJ17" s="228"/>
      <c r="AK17" s="228"/>
      <c r="AL17" s="228"/>
      <c r="AM17" s="258">
        <f t="shared" si="4"/>
        <v>0</v>
      </c>
      <c r="AN17" s="259"/>
      <c r="AO17" s="247"/>
      <c r="AP17" s="228"/>
      <c r="AQ17" s="228"/>
      <c r="AR17" s="228">
        <v>1</v>
      </c>
      <c r="AS17" s="228"/>
      <c r="AT17" s="228"/>
      <c r="AU17" s="228">
        <v>1</v>
      </c>
      <c r="AV17" s="228"/>
      <c r="AW17" s="228"/>
      <c r="AX17" s="247">
        <f t="shared" si="5"/>
        <v>2</v>
      </c>
      <c r="AY17" s="247"/>
      <c r="AZ17" s="247"/>
      <c r="BA17" s="228"/>
      <c r="BB17" s="228">
        <v>1</v>
      </c>
      <c r="BC17" s="247">
        <f t="shared" si="6"/>
        <v>1</v>
      </c>
      <c r="BD17" s="247">
        <f t="shared" si="7"/>
        <v>3</v>
      </c>
      <c r="BE17" s="247"/>
      <c r="BF17" s="247"/>
      <c r="BG17" s="247"/>
      <c r="BH17" s="247"/>
      <c r="BI17" s="228"/>
      <c r="BJ17" s="228"/>
      <c r="BK17" s="228"/>
      <c r="BL17" s="228"/>
      <c r="BM17" s="247">
        <f t="shared" si="8"/>
        <v>0</v>
      </c>
      <c r="BN17" s="247"/>
      <c r="BO17" s="247"/>
      <c r="BP17" s="247"/>
      <c r="BQ17" s="247"/>
      <c r="BR17" s="247"/>
      <c r="BS17" s="228"/>
      <c r="BT17" s="228"/>
      <c r="BU17" s="228"/>
      <c r="BV17" s="228"/>
      <c r="BW17" s="228"/>
      <c r="BX17" s="262">
        <f t="shared" si="12"/>
        <v>0</v>
      </c>
      <c r="BY17" s="247"/>
      <c r="BZ17" s="247"/>
      <c r="CA17" s="228"/>
      <c r="CB17" s="228"/>
      <c r="CC17" s="247">
        <f t="shared" si="9"/>
        <v>0</v>
      </c>
      <c r="CD17" s="262">
        <f t="shared" si="10"/>
        <v>0</v>
      </c>
      <c r="CE17" s="265">
        <f t="shared" si="11"/>
        <v>21</v>
      </c>
    </row>
    <row r="18" ht="27" spans="1:83">
      <c r="A18" s="224" t="s">
        <v>268</v>
      </c>
      <c r="B18" s="225" t="s">
        <v>108</v>
      </c>
      <c r="C18" s="226"/>
      <c r="D18" s="227"/>
      <c r="E18" s="228"/>
      <c r="F18" s="228"/>
      <c r="G18" s="228"/>
      <c r="H18" s="228"/>
      <c r="I18" s="228"/>
      <c r="J18" s="249"/>
      <c r="K18" s="228"/>
      <c r="L18" s="249"/>
      <c r="M18" s="247">
        <f t="shared" si="0"/>
        <v>0</v>
      </c>
      <c r="N18" s="250"/>
      <c r="O18" s="247"/>
      <c r="P18" s="249"/>
      <c r="Q18" s="228"/>
      <c r="R18" s="228">
        <v>1</v>
      </c>
      <c r="S18" s="228"/>
      <c r="T18" s="228"/>
      <c r="U18" s="228">
        <v>1</v>
      </c>
      <c r="V18" s="228"/>
      <c r="W18" s="228">
        <v>1</v>
      </c>
      <c r="X18" s="247">
        <f t="shared" si="1"/>
        <v>3</v>
      </c>
      <c r="Y18" s="247"/>
      <c r="Z18" s="247">
        <v>1</v>
      </c>
      <c r="AA18" s="228">
        <v>1</v>
      </c>
      <c r="AB18" s="228"/>
      <c r="AC18" s="247">
        <f t="shared" si="2"/>
        <v>2</v>
      </c>
      <c r="AD18" s="247">
        <f t="shared" si="13"/>
        <v>5</v>
      </c>
      <c r="AE18" s="247"/>
      <c r="AF18" s="228"/>
      <c r="AG18" s="228"/>
      <c r="AH18" s="228"/>
      <c r="AI18" s="228"/>
      <c r="AJ18" s="228"/>
      <c r="AK18" s="228"/>
      <c r="AL18" s="228"/>
      <c r="AM18" s="258">
        <f t="shared" si="4"/>
        <v>0</v>
      </c>
      <c r="AN18" s="259"/>
      <c r="AO18" s="247"/>
      <c r="AP18" s="228"/>
      <c r="AQ18" s="228"/>
      <c r="AR18" s="228"/>
      <c r="AS18" s="228"/>
      <c r="AT18" s="228"/>
      <c r="AU18" s="228"/>
      <c r="AV18" s="228"/>
      <c r="AW18" s="228"/>
      <c r="AX18" s="247">
        <f t="shared" si="5"/>
        <v>0</v>
      </c>
      <c r="AY18" s="247"/>
      <c r="AZ18" s="247"/>
      <c r="BA18" s="228"/>
      <c r="BB18" s="228"/>
      <c r="BC18" s="247">
        <f t="shared" si="6"/>
        <v>0</v>
      </c>
      <c r="BD18" s="247">
        <f t="shared" si="7"/>
        <v>0</v>
      </c>
      <c r="BE18" s="247"/>
      <c r="BF18" s="247"/>
      <c r="BG18" s="247"/>
      <c r="BH18" s="247"/>
      <c r="BI18" s="228"/>
      <c r="BJ18" s="228"/>
      <c r="BK18" s="228"/>
      <c r="BL18" s="228"/>
      <c r="BM18" s="247">
        <f t="shared" si="8"/>
        <v>0</v>
      </c>
      <c r="BN18" s="247"/>
      <c r="BO18" s="247"/>
      <c r="BP18" s="247"/>
      <c r="BQ18" s="247"/>
      <c r="BR18" s="247"/>
      <c r="BS18" s="228"/>
      <c r="BT18" s="228"/>
      <c r="BU18" s="228"/>
      <c r="BV18" s="228"/>
      <c r="BW18" s="228"/>
      <c r="BX18" s="262">
        <f t="shared" si="12"/>
        <v>0</v>
      </c>
      <c r="BY18" s="247"/>
      <c r="BZ18" s="247"/>
      <c r="CA18" s="228"/>
      <c r="CB18" s="228"/>
      <c r="CC18" s="247">
        <f t="shared" si="9"/>
        <v>0</v>
      </c>
      <c r="CD18" s="262">
        <f t="shared" si="10"/>
        <v>0</v>
      </c>
      <c r="CE18" s="265">
        <f t="shared" si="11"/>
        <v>5</v>
      </c>
    </row>
    <row r="19" ht="27" spans="1:83">
      <c r="A19" s="232" t="s">
        <v>269</v>
      </c>
      <c r="B19" s="225" t="s">
        <v>270</v>
      </c>
      <c r="C19" s="226"/>
      <c r="D19" s="227"/>
      <c r="E19" s="228"/>
      <c r="F19" s="228"/>
      <c r="G19" s="228"/>
      <c r="H19" s="228"/>
      <c r="I19" s="228"/>
      <c r="J19" s="228"/>
      <c r="K19" s="228"/>
      <c r="L19" s="228"/>
      <c r="M19" s="247">
        <f t="shared" si="0"/>
        <v>0</v>
      </c>
      <c r="N19" s="247"/>
      <c r="O19" s="247"/>
      <c r="P19" s="228"/>
      <c r="Q19" s="228">
        <v>2</v>
      </c>
      <c r="R19" s="228"/>
      <c r="S19" s="228">
        <v>2</v>
      </c>
      <c r="T19" s="228">
        <v>2</v>
      </c>
      <c r="U19" s="228"/>
      <c r="V19" s="228">
        <v>2</v>
      </c>
      <c r="W19" s="228"/>
      <c r="X19" s="247">
        <f t="shared" si="1"/>
        <v>8</v>
      </c>
      <c r="Y19" s="247"/>
      <c r="Z19" s="247"/>
      <c r="AA19" s="228"/>
      <c r="AB19" s="228">
        <v>4</v>
      </c>
      <c r="AC19" s="247">
        <f t="shared" si="2"/>
        <v>4</v>
      </c>
      <c r="AD19" s="247">
        <f t="shared" si="13"/>
        <v>12</v>
      </c>
      <c r="AE19" s="247"/>
      <c r="AF19" s="228"/>
      <c r="AG19" s="228"/>
      <c r="AH19" s="228"/>
      <c r="AI19" s="228"/>
      <c r="AJ19" s="228"/>
      <c r="AK19" s="228"/>
      <c r="AL19" s="228"/>
      <c r="AM19" s="258">
        <f t="shared" si="4"/>
        <v>0</v>
      </c>
      <c r="AN19" s="259">
        <v>1</v>
      </c>
      <c r="AO19" s="247"/>
      <c r="AP19" s="228"/>
      <c r="AQ19" s="228"/>
      <c r="AR19" s="228"/>
      <c r="AS19" s="228"/>
      <c r="AT19" s="228"/>
      <c r="AU19" s="228"/>
      <c r="AV19" s="228"/>
      <c r="AW19" s="228"/>
      <c r="AX19" s="247">
        <f t="shared" si="5"/>
        <v>1</v>
      </c>
      <c r="AY19" s="247"/>
      <c r="AZ19" s="247"/>
      <c r="BA19" s="228"/>
      <c r="BB19" s="228"/>
      <c r="BC19" s="247">
        <f t="shared" si="6"/>
        <v>0</v>
      </c>
      <c r="BD19" s="247">
        <f t="shared" si="7"/>
        <v>1</v>
      </c>
      <c r="BE19" s="247"/>
      <c r="BF19" s="247"/>
      <c r="BG19" s="247"/>
      <c r="BH19" s="247"/>
      <c r="BI19" s="228"/>
      <c r="BJ19" s="228"/>
      <c r="BK19" s="228"/>
      <c r="BL19" s="228"/>
      <c r="BM19" s="247">
        <f t="shared" si="8"/>
        <v>0</v>
      </c>
      <c r="BN19" s="247"/>
      <c r="BO19" s="247"/>
      <c r="BP19" s="247"/>
      <c r="BQ19" s="247"/>
      <c r="BR19" s="247"/>
      <c r="BS19" s="228"/>
      <c r="BT19" s="228"/>
      <c r="BU19" s="228"/>
      <c r="BV19" s="228"/>
      <c r="BW19" s="228"/>
      <c r="BX19" s="262">
        <f t="shared" si="12"/>
        <v>0</v>
      </c>
      <c r="BY19" s="247"/>
      <c r="BZ19" s="247"/>
      <c r="CA19" s="228"/>
      <c r="CB19" s="228"/>
      <c r="CC19" s="247">
        <f t="shared" si="9"/>
        <v>0</v>
      </c>
      <c r="CD19" s="262">
        <f t="shared" si="10"/>
        <v>0</v>
      </c>
      <c r="CE19" s="265">
        <f t="shared" si="11"/>
        <v>13</v>
      </c>
    </row>
    <row r="20" ht="38.25" spans="1:83">
      <c r="A20" s="232" t="s">
        <v>271</v>
      </c>
      <c r="B20" s="225" t="s">
        <v>272</v>
      </c>
      <c r="C20" s="226"/>
      <c r="D20" s="227"/>
      <c r="E20" s="228"/>
      <c r="F20" s="228"/>
      <c r="G20" s="228"/>
      <c r="H20" s="228"/>
      <c r="I20" s="228">
        <v>1</v>
      </c>
      <c r="J20" s="228">
        <v>1</v>
      </c>
      <c r="K20" s="228">
        <v>1</v>
      </c>
      <c r="L20" s="228">
        <v>1</v>
      </c>
      <c r="M20" s="247">
        <f t="shared" si="0"/>
        <v>4</v>
      </c>
      <c r="N20" s="247">
        <v>3</v>
      </c>
      <c r="O20" s="247">
        <v>3</v>
      </c>
      <c r="P20" s="228">
        <v>3</v>
      </c>
      <c r="Q20" s="228">
        <v>3</v>
      </c>
      <c r="R20" s="228">
        <v>1</v>
      </c>
      <c r="S20" s="228">
        <v>1</v>
      </c>
      <c r="T20" s="228">
        <v>1</v>
      </c>
      <c r="U20" s="228">
        <v>1</v>
      </c>
      <c r="V20" s="228">
        <v>1</v>
      </c>
      <c r="W20" s="228">
        <v>1</v>
      </c>
      <c r="X20" s="247">
        <f t="shared" si="1"/>
        <v>18</v>
      </c>
      <c r="Y20" s="247"/>
      <c r="Z20" s="247"/>
      <c r="AA20" s="228"/>
      <c r="AB20" s="228"/>
      <c r="AC20" s="247">
        <f t="shared" si="2"/>
        <v>0</v>
      </c>
      <c r="AD20" s="247">
        <f t="shared" si="13"/>
        <v>22</v>
      </c>
      <c r="AE20" s="247"/>
      <c r="AF20" s="228"/>
      <c r="AG20" s="228"/>
      <c r="AH20" s="228"/>
      <c r="AI20" s="228"/>
      <c r="AJ20" s="228"/>
      <c r="AK20" s="228"/>
      <c r="AL20" s="228"/>
      <c r="AM20" s="258">
        <f t="shared" si="4"/>
        <v>0</v>
      </c>
      <c r="AN20" s="259"/>
      <c r="AO20" s="247"/>
      <c r="AP20" s="228"/>
      <c r="AQ20" s="228"/>
      <c r="AR20" s="228"/>
      <c r="AS20" s="228"/>
      <c r="AT20" s="228"/>
      <c r="AU20" s="228"/>
      <c r="AV20" s="228"/>
      <c r="AW20" s="228"/>
      <c r="AX20" s="247">
        <f t="shared" si="5"/>
        <v>0</v>
      </c>
      <c r="AY20" s="247"/>
      <c r="AZ20" s="247"/>
      <c r="BA20" s="228"/>
      <c r="BB20" s="228"/>
      <c r="BC20" s="247">
        <f t="shared" si="6"/>
        <v>0</v>
      </c>
      <c r="BD20" s="247">
        <f t="shared" si="7"/>
        <v>0</v>
      </c>
      <c r="BE20" s="247"/>
      <c r="BF20" s="247"/>
      <c r="BG20" s="247"/>
      <c r="BH20" s="247"/>
      <c r="BI20" s="228"/>
      <c r="BJ20" s="228"/>
      <c r="BK20" s="228"/>
      <c r="BL20" s="228"/>
      <c r="BM20" s="247">
        <f t="shared" si="8"/>
        <v>0</v>
      </c>
      <c r="BN20" s="247"/>
      <c r="BO20" s="247"/>
      <c r="BP20" s="247"/>
      <c r="BQ20" s="247"/>
      <c r="BR20" s="247"/>
      <c r="BS20" s="228"/>
      <c r="BT20" s="228"/>
      <c r="BU20" s="228"/>
      <c r="BV20" s="228"/>
      <c r="BW20" s="228"/>
      <c r="BX20" s="262">
        <f t="shared" si="12"/>
        <v>0</v>
      </c>
      <c r="BY20" s="247"/>
      <c r="BZ20" s="247"/>
      <c r="CA20" s="228"/>
      <c r="CB20" s="228"/>
      <c r="CC20" s="247">
        <f t="shared" si="9"/>
        <v>0</v>
      </c>
      <c r="CD20" s="262">
        <f t="shared" si="10"/>
        <v>0</v>
      </c>
      <c r="CE20" s="265">
        <f t="shared" si="11"/>
        <v>22</v>
      </c>
    </row>
    <row r="21" ht="27" spans="1:83">
      <c r="A21" s="232" t="s">
        <v>104</v>
      </c>
      <c r="B21" s="225" t="s">
        <v>105</v>
      </c>
      <c r="C21" s="226"/>
      <c r="D21" s="227"/>
      <c r="E21" s="228"/>
      <c r="F21" s="228"/>
      <c r="G21" s="228"/>
      <c r="H21" s="228"/>
      <c r="I21" s="228"/>
      <c r="J21" s="228"/>
      <c r="K21" s="228"/>
      <c r="L21" s="228"/>
      <c r="M21" s="247">
        <f t="shared" si="0"/>
        <v>0</v>
      </c>
      <c r="N21" s="247"/>
      <c r="O21" s="247"/>
      <c r="P21" s="228"/>
      <c r="Q21" s="228"/>
      <c r="R21" s="228">
        <v>1</v>
      </c>
      <c r="S21" s="228">
        <v>1</v>
      </c>
      <c r="T21" s="228">
        <v>2</v>
      </c>
      <c r="U21" s="228">
        <v>2</v>
      </c>
      <c r="V21" s="228">
        <v>2</v>
      </c>
      <c r="W21" s="228"/>
      <c r="X21" s="247">
        <f t="shared" si="1"/>
        <v>8</v>
      </c>
      <c r="Y21" s="247"/>
      <c r="Z21" s="247"/>
      <c r="AA21" s="228"/>
      <c r="AB21" s="228"/>
      <c r="AC21" s="247">
        <f t="shared" si="2"/>
        <v>0</v>
      </c>
      <c r="AD21" s="247">
        <f t="shared" si="13"/>
        <v>8</v>
      </c>
      <c r="AE21" s="247"/>
      <c r="AF21" s="228"/>
      <c r="AG21" s="228"/>
      <c r="AH21" s="228"/>
      <c r="AI21" s="228"/>
      <c r="AJ21" s="228"/>
      <c r="AK21" s="228"/>
      <c r="AL21" s="228"/>
      <c r="AM21" s="258">
        <f t="shared" si="4"/>
        <v>0</v>
      </c>
      <c r="AN21" s="259"/>
      <c r="AO21" s="247"/>
      <c r="AP21" s="228"/>
      <c r="AQ21" s="228"/>
      <c r="AR21" s="228"/>
      <c r="AS21" s="228"/>
      <c r="AT21" s="228">
        <v>1</v>
      </c>
      <c r="AU21" s="228"/>
      <c r="AV21" s="228"/>
      <c r="AW21" s="228"/>
      <c r="AX21" s="247">
        <f t="shared" si="5"/>
        <v>1</v>
      </c>
      <c r="AY21" s="247"/>
      <c r="AZ21" s="247"/>
      <c r="BA21" s="228"/>
      <c r="BB21" s="228"/>
      <c r="BC21" s="247">
        <f t="shared" si="6"/>
        <v>0</v>
      </c>
      <c r="BD21" s="247">
        <f t="shared" si="7"/>
        <v>1</v>
      </c>
      <c r="BE21" s="247"/>
      <c r="BF21" s="247"/>
      <c r="BG21" s="247"/>
      <c r="BH21" s="247"/>
      <c r="BI21" s="228"/>
      <c r="BJ21" s="228"/>
      <c r="BK21" s="228"/>
      <c r="BL21" s="228"/>
      <c r="BM21" s="247">
        <f t="shared" si="8"/>
        <v>0</v>
      </c>
      <c r="BN21" s="247"/>
      <c r="BO21" s="247"/>
      <c r="BP21" s="247"/>
      <c r="BQ21" s="247"/>
      <c r="BR21" s="247">
        <v>1</v>
      </c>
      <c r="BS21" s="228"/>
      <c r="BT21" s="228"/>
      <c r="BU21" s="228"/>
      <c r="BV21" s="228"/>
      <c r="BW21" s="228"/>
      <c r="BX21" s="262">
        <f t="shared" si="12"/>
        <v>1</v>
      </c>
      <c r="BY21" s="247"/>
      <c r="BZ21" s="247"/>
      <c r="CA21" s="228"/>
      <c r="CB21" s="228"/>
      <c r="CC21" s="247">
        <f t="shared" si="9"/>
        <v>0</v>
      </c>
      <c r="CD21" s="262">
        <f t="shared" si="10"/>
        <v>1</v>
      </c>
      <c r="CE21" s="265">
        <f t="shared" si="11"/>
        <v>10</v>
      </c>
    </row>
    <row r="22" ht="27" spans="1:83">
      <c r="A22" s="233" t="s">
        <v>273</v>
      </c>
      <c r="B22" s="225" t="s">
        <v>119</v>
      </c>
      <c r="C22" s="226"/>
      <c r="D22" s="227"/>
      <c r="E22" s="228"/>
      <c r="F22" s="228"/>
      <c r="G22" s="228"/>
      <c r="H22" s="228"/>
      <c r="I22" s="228"/>
      <c r="J22" s="228"/>
      <c r="K22" s="228"/>
      <c r="L22" s="228"/>
      <c r="M22" s="247">
        <f t="shared" si="0"/>
        <v>0</v>
      </c>
      <c r="N22" s="247"/>
      <c r="O22" s="247"/>
      <c r="P22" s="228"/>
      <c r="Q22" s="228"/>
      <c r="R22" s="228">
        <v>2</v>
      </c>
      <c r="S22" s="228">
        <v>2</v>
      </c>
      <c r="T22" s="228">
        <v>2</v>
      </c>
      <c r="U22" s="228">
        <v>2</v>
      </c>
      <c r="V22" s="228">
        <v>2</v>
      </c>
      <c r="W22" s="228">
        <v>2</v>
      </c>
      <c r="X22" s="247">
        <f t="shared" si="1"/>
        <v>12</v>
      </c>
      <c r="Y22" s="247"/>
      <c r="Z22" s="247">
        <v>2</v>
      </c>
      <c r="AA22" s="228">
        <v>2</v>
      </c>
      <c r="AB22" s="228">
        <v>4</v>
      </c>
      <c r="AC22" s="247">
        <f t="shared" si="2"/>
        <v>8</v>
      </c>
      <c r="AD22" s="247">
        <f t="shared" si="13"/>
        <v>20</v>
      </c>
      <c r="AE22" s="247"/>
      <c r="AF22" s="228"/>
      <c r="AG22" s="228"/>
      <c r="AH22" s="228"/>
      <c r="AI22" s="228"/>
      <c r="AJ22" s="228"/>
      <c r="AK22" s="228"/>
      <c r="AL22" s="228"/>
      <c r="AM22" s="258">
        <f t="shared" si="4"/>
        <v>0</v>
      </c>
      <c r="AN22" s="259"/>
      <c r="AO22" s="247"/>
      <c r="AP22" s="228"/>
      <c r="AQ22" s="228"/>
      <c r="AR22" s="228"/>
      <c r="AS22" s="228"/>
      <c r="AT22" s="228"/>
      <c r="AU22" s="228">
        <v>1</v>
      </c>
      <c r="AV22" s="228"/>
      <c r="AW22" s="228">
        <v>1</v>
      </c>
      <c r="AX22" s="247">
        <f t="shared" si="5"/>
        <v>2</v>
      </c>
      <c r="AY22" s="247"/>
      <c r="AZ22" s="247">
        <v>0.5</v>
      </c>
      <c r="BA22" s="228">
        <v>0.5</v>
      </c>
      <c r="BB22" s="228"/>
      <c r="BC22" s="247">
        <f t="shared" si="6"/>
        <v>1</v>
      </c>
      <c r="BD22" s="247">
        <f t="shared" si="7"/>
        <v>3</v>
      </c>
      <c r="BE22" s="247"/>
      <c r="BF22" s="247"/>
      <c r="BG22" s="247"/>
      <c r="BH22" s="247"/>
      <c r="BI22" s="228"/>
      <c r="BJ22" s="228"/>
      <c r="BK22" s="228"/>
      <c r="BL22" s="228"/>
      <c r="BM22" s="247">
        <f t="shared" si="8"/>
        <v>0</v>
      </c>
      <c r="BN22" s="247"/>
      <c r="BO22" s="247"/>
      <c r="BP22" s="247"/>
      <c r="BQ22" s="247"/>
      <c r="BR22" s="247"/>
      <c r="BS22" s="228"/>
      <c r="BT22" s="228"/>
      <c r="BU22" s="261"/>
      <c r="BV22" s="228"/>
      <c r="BW22" s="228"/>
      <c r="BX22" s="262">
        <f t="shared" si="12"/>
        <v>0</v>
      </c>
      <c r="BY22" s="247"/>
      <c r="BZ22" s="247"/>
      <c r="CA22" s="228"/>
      <c r="CB22" s="228"/>
      <c r="CC22" s="247">
        <f t="shared" si="9"/>
        <v>0</v>
      </c>
      <c r="CD22" s="262">
        <f t="shared" si="10"/>
        <v>0</v>
      </c>
      <c r="CE22" s="265">
        <f t="shared" si="11"/>
        <v>23</v>
      </c>
    </row>
    <row r="23" ht="27" spans="1:83">
      <c r="A23" s="234" t="s">
        <v>125</v>
      </c>
      <c r="B23" s="225" t="s">
        <v>274</v>
      </c>
      <c r="C23" s="226"/>
      <c r="D23" s="227"/>
      <c r="E23" s="228"/>
      <c r="F23" s="228"/>
      <c r="G23" s="228"/>
      <c r="H23" s="228"/>
      <c r="I23" s="228"/>
      <c r="J23" s="228"/>
      <c r="K23" s="228"/>
      <c r="L23" s="228"/>
      <c r="M23" s="247">
        <f t="shared" si="0"/>
        <v>0</v>
      </c>
      <c r="N23" s="247">
        <v>3</v>
      </c>
      <c r="O23" s="247"/>
      <c r="P23" s="228"/>
      <c r="Q23" s="228">
        <v>5</v>
      </c>
      <c r="R23" s="228"/>
      <c r="S23" s="253">
        <v>5</v>
      </c>
      <c r="T23" s="228">
        <v>5</v>
      </c>
      <c r="U23" s="228"/>
      <c r="V23" s="228"/>
      <c r="W23" s="228"/>
      <c r="X23" s="247">
        <f t="shared" si="1"/>
        <v>18</v>
      </c>
      <c r="Y23" s="247"/>
      <c r="Z23" s="247"/>
      <c r="AA23" s="228"/>
      <c r="AB23" s="228"/>
      <c r="AC23" s="247">
        <f t="shared" si="2"/>
        <v>0</v>
      </c>
      <c r="AD23" s="247">
        <f t="shared" si="13"/>
        <v>18</v>
      </c>
      <c r="AE23" s="247"/>
      <c r="AF23" s="228"/>
      <c r="AG23" s="228"/>
      <c r="AH23" s="228"/>
      <c r="AI23" s="228"/>
      <c r="AJ23" s="228"/>
      <c r="AK23" s="228"/>
      <c r="AL23" s="228"/>
      <c r="AM23" s="258">
        <f t="shared" si="4"/>
        <v>0</v>
      </c>
      <c r="AN23" s="259"/>
      <c r="AO23" s="247"/>
      <c r="AP23" s="228"/>
      <c r="AQ23" s="228"/>
      <c r="AR23" s="228"/>
      <c r="AS23" s="228"/>
      <c r="AT23" s="228"/>
      <c r="AU23" s="228"/>
      <c r="AV23" s="228"/>
      <c r="AW23" s="228"/>
      <c r="AX23" s="247">
        <f t="shared" si="5"/>
        <v>0</v>
      </c>
      <c r="AY23" s="247"/>
      <c r="AZ23" s="247"/>
      <c r="BA23" s="228"/>
      <c r="BB23" s="228"/>
      <c r="BC23" s="247">
        <f t="shared" si="6"/>
        <v>0</v>
      </c>
      <c r="BD23" s="247">
        <f t="shared" si="7"/>
        <v>0</v>
      </c>
      <c r="BE23" s="247"/>
      <c r="BF23" s="247"/>
      <c r="BG23" s="247"/>
      <c r="BH23" s="247"/>
      <c r="BI23" s="228"/>
      <c r="BJ23" s="228"/>
      <c r="BK23" s="228"/>
      <c r="BL23" s="228"/>
      <c r="BM23" s="247">
        <f t="shared" si="8"/>
        <v>0</v>
      </c>
      <c r="BN23" s="247"/>
      <c r="BO23" s="247"/>
      <c r="BP23" s="247"/>
      <c r="BQ23" s="247"/>
      <c r="BR23" s="247"/>
      <c r="BS23" s="228"/>
      <c r="BT23" s="228"/>
      <c r="BU23" s="228"/>
      <c r="BV23" s="228"/>
      <c r="BW23" s="228"/>
      <c r="BX23" s="262">
        <f t="shared" si="12"/>
        <v>0</v>
      </c>
      <c r="BY23" s="247"/>
      <c r="BZ23" s="247"/>
      <c r="CA23" s="228"/>
      <c r="CB23" s="228"/>
      <c r="CC23" s="247">
        <f t="shared" si="9"/>
        <v>0</v>
      </c>
      <c r="CD23" s="262">
        <f t="shared" si="10"/>
        <v>0</v>
      </c>
      <c r="CE23" s="265">
        <f t="shared" si="11"/>
        <v>18</v>
      </c>
    </row>
    <row r="24" ht="27" spans="1:83">
      <c r="A24" s="234" t="s">
        <v>172</v>
      </c>
      <c r="B24" s="225" t="s">
        <v>275</v>
      </c>
      <c r="C24" s="226"/>
      <c r="D24" s="227"/>
      <c r="E24" s="228"/>
      <c r="F24" s="228"/>
      <c r="G24" s="228"/>
      <c r="H24" s="228"/>
      <c r="I24" s="228"/>
      <c r="J24" s="228"/>
      <c r="K24" s="228"/>
      <c r="L24" s="228"/>
      <c r="M24" s="247">
        <f t="shared" si="0"/>
        <v>0</v>
      </c>
      <c r="N24" s="247"/>
      <c r="O24" s="247">
        <v>5</v>
      </c>
      <c r="P24" s="228"/>
      <c r="Q24" s="228"/>
      <c r="R24" s="228"/>
      <c r="S24" s="253"/>
      <c r="T24" s="228"/>
      <c r="U24" s="228"/>
      <c r="V24" s="228">
        <v>5</v>
      </c>
      <c r="W24" s="228"/>
      <c r="X24" s="247">
        <f t="shared" si="1"/>
        <v>10</v>
      </c>
      <c r="Y24" s="247"/>
      <c r="Z24" s="247"/>
      <c r="AA24" s="228"/>
      <c r="AB24" s="228">
        <v>3</v>
      </c>
      <c r="AC24" s="247">
        <f t="shared" si="2"/>
        <v>3</v>
      </c>
      <c r="AD24" s="247">
        <f t="shared" si="13"/>
        <v>13</v>
      </c>
      <c r="AE24" s="247"/>
      <c r="AF24" s="228"/>
      <c r="AG24" s="228"/>
      <c r="AH24" s="228"/>
      <c r="AI24" s="228"/>
      <c r="AJ24" s="228"/>
      <c r="AK24" s="228"/>
      <c r="AL24" s="228"/>
      <c r="AM24" s="258">
        <f t="shared" si="4"/>
        <v>0</v>
      </c>
      <c r="AN24" s="259"/>
      <c r="AO24" s="247"/>
      <c r="AP24" s="228"/>
      <c r="AQ24" s="228"/>
      <c r="AR24" s="228"/>
      <c r="AS24" s="228"/>
      <c r="AT24" s="228"/>
      <c r="AU24" s="228"/>
      <c r="AV24" s="228"/>
      <c r="AW24" s="228"/>
      <c r="AX24" s="247">
        <f t="shared" si="5"/>
        <v>0</v>
      </c>
      <c r="AY24" s="247"/>
      <c r="AZ24" s="247"/>
      <c r="BA24" s="228"/>
      <c r="BB24" s="228"/>
      <c r="BC24" s="247">
        <f t="shared" si="6"/>
        <v>0</v>
      </c>
      <c r="BD24" s="247">
        <f t="shared" si="7"/>
        <v>0</v>
      </c>
      <c r="BE24" s="247"/>
      <c r="BF24" s="247"/>
      <c r="BG24" s="247"/>
      <c r="BH24" s="247"/>
      <c r="BI24" s="228"/>
      <c r="BJ24" s="228"/>
      <c r="BK24" s="228"/>
      <c r="BL24" s="228"/>
      <c r="BM24" s="247">
        <f t="shared" si="8"/>
        <v>0</v>
      </c>
      <c r="BN24" s="247"/>
      <c r="BO24" s="247"/>
      <c r="BP24" s="247"/>
      <c r="BQ24" s="247"/>
      <c r="BR24" s="247"/>
      <c r="BS24" s="228"/>
      <c r="BT24" s="228"/>
      <c r="BU24" s="228"/>
      <c r="BV24" s="228"/>
      <c r="BW24" s="228"/>
      <c r="BX24" s="262">
        <f t="shared" si="12"/>
        <v>0</v>
      </c>
      <c r="BY24" s="247"/>
      <c r="BZ24" s="247"/>
      <c r="CA24" s="228"/>
      <c r="CB24" s="228"/>
      <c r="CC24" s="247">
        <f t="shared" si="9"/>
        <v>0</v>
      </c>
      <c r="CD24" s="262">
        <f t="shared" si="10"/>
        <v>0</v>
      </c>
      <c r="CE24" s="265">
        <f t="shared" si="11"/>
        <v>13</v>
      </c>
    </row>
    <row r="25" ht="27" spans="1:83">
      <c r="A25" s="232" t="s">
        <v>83</v>
      </c>
      <c r="B25" s="225" t="s">
        <v>276</v>
      </c>
      <c r="C25" s="226"/>
      <c r="D25" s="227"/>
      <c r="E25" s="228"/>
      <c r="F25" s="228">
        <v>2</v>
      </c>
      <c r="G25" s="228"/>
      <c r="H25" s="228">
        <v>2</v>
      </c>
      <c r="I25" s="228"/>
      <c r="J25" s="228">
        <v>2</v>
      </c>
      <c r="K25" s="248"/>
      <c r="L25" s="228">
        <v>2</v>
      </c>
      <c r="M25" s="247">
        <f t="shared" si="0"/>
        <v>8</v>
      </c>
      <c r="N25" s="247"/>
      <c r="O25" s="247"/>
      <c r="P25" s="228">
        <v>3</v>
      </c>
      <c r="Q25" s="228"/>
      <c r="R25" s="228">
        <v>3</v>
      </c>
      <c r="S25" s="228"/>
      <c r="T25" s="228"/>
      <c r="U25" s="228">
        <v>3</v>
      </c>
      <c r="V25" s="228"/>
      <c r="W25" s="228">
        <v>3</v>
      </c>
      <c r="X25" s="247">
        <f t="shared" si="1"/>
        <v>12</v>
      </c>
      <c r="Y25" s="247"/>
      <c r="Z25" s="247">
        <v>1</v>
      </c>
      <c r="AA25" s="228">
        <v>1</v>
      </c>
      <c r="AB25" s="228"/>
      <c r="AC25" s="247">
        <f t="shared" si="2"/>
        <v>2</v>
      </c>
      <c r="AD25" s="247">
        <f t="shared" si="13"/>
        <v>22</v>
      </c>
      <c r="AE25" s="247"/>
      <c r="AF25" s="228"/>
      <c r="AG25" s="228"/>
      <c r="AH25" s="228"/>
      <c r="AI25" s="228"/>
      <c r="AJ25" s="228"/>
      <c r="AK25" s="228"/>
      <c r="AL25" s="228"/>
      <c r="AM25" s="258">
        <f t="shared" si="4"/>
        <v>0</v>
      </c>
      <c r="AN25" s="259"/>
      <c r="AO25" s="247"/>
      <c r="AP25" s="228"/>
      <c r="AQ25" s="228"/>
      <c r="AR25" s="228"/>
      <c r="AS25" s="228"/>
      <c r="AT25" s="228"/>
      <c r="AU25" s="228"/>
      <c r="AV25" s="228"/>
      <c r="AW25" s="228"/>
      <c r="AX25" s="247">
        <f t="shared" si="5"/>
        <v>0</v>
      </c>
      <c r="AY25" s="247"/>
      <c r="AZ25" s="247"/>
      <c r="BA25" s="228"/>
      <c r="BB25" s="228"/>
      <c r="BC25" s="247">
        <f t="shared" si="6"/>
        <v>0</v>
      </c>
      <c r="BD25" s="247">
        <f t="shared" si="7"/>
        <v>0</v>
      </c>
      <c r="BE25" s="247"/>
      <c r="BF25" s="247"/>
      <c r="BG25" s="247"/>
      <c r="BH25" s="247"/>
      <c r="BI25" s="228"/>
      <c r="BJ25" s="228"/>
      <c r="BK25" s="228"/>
      <c r="BL25" s="228"/>
      <c r="BM25" s="247">
        <f t="shared" si="8"/>
        <v>0</v>
      </c>
      <c r="BN25" s="247"/>
      <c r="BO25" s="247"/>
      <c r="BP25" s="247"/>
      <c r="BQ25" s="247"/>
      <c r="BR25" s="247"/>
      <c r="BS25" s="228"/>
      <c r="BT25" s="228"/>
      <c r="BU25" s="228"/>
      <c r="BV25" s="228"/>
      <c r="BW25" s="228"/>
      <c r="BX25" s="262">
        <f t="shared" si="12"/>
        <v>0</v>
      </c>
      <c r="BY25" s="247"/>
      <c r="BZ25" s="247"/>
      <c r="CA25" s="228"/>
      <c r="CB25" s="228"/>
      <c r="CC25" s="247">
        <f t="shared" si="9"/>
        <v>0</v>
      </c>
      <c r="CD25" s="262">
        <f t="shared" si="10"/>
        <v>0</v>
      </c>
      <c r="CE25" s="265">
        <f t="shared" si="11"/>
        <v>22</v>
      </c>
    </row>
    <row r="26" ht="27" spans="1:83">
      <c r="A26" s="224" t="s">
        <v>64</v>
      </c>
      <c r="B26" s="225" t="s">
        <v>277</v>
      </c>
      <c r="C26" s="226"/>
      <c r="D26" s="227"/>
      <c r="E26" s="228"/>
      <c r="F26" s="228"/>
      <c r="G26" s="228"/>
      <c r="H26" s="228"/>
      <c r="I26" s="228"/>
      <c r="J26" s="228"/>
      <c r="K26" s="228">
        <v>4</v>
      </c>
      <c r="L26" s="228"/>
      <c r="M26" s="247">
        <f t="shared" si="0"/>
        <v>4</v>
      </c>
      <c r="N26" s="247"/>
      <c r="O26" s="247"/>
      <c r="P26" s="247">
        <v>5</v>
      </c>
      <c r="Q26" s="228"/>
      <c r="R26" s="228">
        <v>5</v>
      </c>
      <c r="S26" s="228"/>
      <c r="T26" s="228"/>
      <c r="U26" s="228">
        <v>5</v>
      </c>
      <c r="V26" s="228"/>
      <c r="W26" s="228">
        <v>5</v>
      </c>
      <c r="X26" s="247">
        <f t="shared" si="1"/>
        <v>20</v>
      </c>
      <c r="Y26" s="247"/>
      <c r="Z26" s="247">
        <v>1.5</v>
      </c>
      <c r="AA26" s="228">
        <v>1.5</v>
      </c>
      <c r="AB26" s="228"/>
      <c r="AC26" s="247">
        <f t="shared" si="2"/>
        <v>3</v>
      </c>
      <c r="AD26" s="247">
        <f t="shared" si="13"/>
        <v>27</v>
      </c>
      <c r="AE26" s="247"/>
      <c r="AF26" s="228"/>
      <c r="AG26" s="228"/>
      <c r="AH26" s="228"/>
      <c r="AI26" s="228"/>
      <c r="AJ26" s="228"/>
      <c r="AK26" s="228"/>
      <c r="AL26" s="228"/>
      <c r="AM26" s="258">
        <f t="shared" si="4"/>
        <v>0</v>
      </c>
      <c r="AN26" s="259"/>
      <c r="AO26" s="247"/>
      <c r="AP26" s="228"/>
      <c r="AQ26" s="228"/>
      <c r="AR26" s="228"/>
      <c r="AS26" s="228"/>
      <c r="AT26" s="228"/>
      <c r="AU26" s="228"/>
      <c r="AV26" s="228"/>
      <c r="AW26" s="228"/>
      <c r="AX26" s="247">
        <f t="shared" si="5"/>
        <v>0</v>
      </c>
      <c r="AY26" s="247"/>
      <c r="AZ26" s="247">
        <v>0.5</v>
      </c>
      <c r="BA26" s="228"/>
      <c r="BB26" s="228"/>
      <c r="BC26" s="247">
        <f t="shared" si="6"/>
        <v>0.5</v>
      </c>
      <c r="BD26" s="247">
        <f t="shared" si="7"/>
        <v>0.5</v>
      </c>
      <c r="BE26" s="247"/>
      <c r="BF26" s="247"/>
      <c r="BG26" s="247"/>
      <c r="BH26" s="247"/>
      <c r="BI26" s="228"/>
      <c r="BJ26" s="228"/>
      <c r="BK26" s="228"/>
      <c r="BL26" s="228"/>
      <c r="BM26" s="247">
        <f t="shared" si="8"/>
        <v>0</v>
      </c>
      <c r="BN26" s="247"/>
      <c r="BO26" s="247"/>
      <c r="BP26" s="247"/>
      <c r="BQ26" s="247"/>
      <c r="BR26" s="247"/>
      <c r="BS26" s="228"/>
      <c r="BT26" s="228"/>
      <c r="BU26" s="228">
        <v>1</v>
      </c>
      <c r="BV26" s="228"/>
      <c r="BW26" s="228">
        <v>1</v>
      </c>
      <c r="BX26" s="262">
        <f t="shared" si="12"/>
        <v>2</v>
      </c>
      <c r="BY26" s="247"/>
      <c r="BZ26" s="247"/>
      <c r="CA26" s="228"/>
      <c r="CB26" s="228"/>
      <c r="CC26" s="247">
        <f t="shared" si="9"/>
        <v>0</v>
      </c>
      <c r="CD26" s="262">
        <f t="shared" si="10"/>
        <v>2</v>
      </c>
      <c r="CE26" s="265">
        <f t="shared" si="11"/>
        <v>29.5</v>
      </c>
    </row>
    <row r="27" ht="38.25" spans="1:83">
      <c r="A27" s="224" t="s">
        <v>76</v>
      </c>
      <c r="B27" s="225" t="s">
        <v>278</v>
      </c>
      <c r="C27" s="226"/>
      <c r="D27" s="227"/>
      <c r="E27" s="228"/>
      <c r="F27" s="228"/>
      <c r="G27" s="228"/>
      <c r="H27" s="228"/>
      <c r="I27" s="228"/>
      <c r="J27" s="228"/>
      <c r="K27" s="228"/>
      <c r="L27" s="228"/>
      <c r="M27" s="247">
        <f t="shared" si="0"/>
        <v>0</v>
      </c>
      <c r="N27" s="247"/>
      <c r="O27" s="247">
        <v>3</v>
      </c>
      <c r="P27" s="228"/>
      <c r="Q27" s="228">
        <v>3</v>
      </c>
      <c r="R27" s="228"/>
      <c r="S27" s="228">
        <v>3</v>
      </c>
      <c r="T27" s="228">
        <v>3</v>
      </c>
      <c r="U27" s="228"/>
      <c r="V27" s="228">
        <v>4</v>
      </c>
      <c r="W27" s="228"/>
      <c r="X27" s="247">
        <f t="shared" si="1"/>
        <v>16</v>
      </c>
      <c r="Y27" s="247"/>
      <c r="Z27" s="247"/>
      <c r="AA27" s="228"/>
      <c r="AB27" s="228">
        <v>4</v>
      </c>
      <c r="AC27" s="247">
        <f t="shared" si="2"/>
        <v>4</v>
      </c>
      <c r="AD27" s="247">
        <f t="shared" si="13"/>
        <v>20</v>
      </c>
      <c r="AE27" s="247"/>
      <c r="AF27" s="228"/>
      <c r="AG27" s="228"/>
      <c r="AH27" s="228"/>
      <c r="AI27" s="228"/>
      <c r="AJ27" s="228"/>
      <c r="AK27" s="228"/>
      <c r="AL27" s="228"/>
      <c r="AM27" s="258">
        <f t="shared" si="4"/>
        <v>0</v>
      </c>
      <c r="AN27" s="259"/>
      <c r="AO27" s="247"/>
      <c r="AP27" s="228"/>
      <c r="AQ27" s="228"/>
      <c r="AR27" s="228"/>
      <c r="AS27" s="228"/>
      <c r="AT27" s="228"/>
      <c r="AU27" s="228"/>
      <c r="AV27" s="228">
        <v>1</v>
      </c>
      <c r="AW27" s="228"/>
      <c r="AX27" s="247">
        <f t="shared" si="5"/>
        <v>1</v>
      </c>
      <c r="AY27" s="247"/>
      <c r="AZ27" s="247"/>
      <c r="BA27" s="228"/>
      <c r="BB27" s="228"/>
      <c r="BC27" s="247">
        <f t="shared" si="6"/>
        <v>0</v>
      </c>
      <c r="BD27" s="247">
        <f t="shared" si="7"/>
        <v>1</v>
      </c>
      <c r="BE27" s="247"/>
      <c r="BF27" s="247"/>
      <c r="BG27" s="247"/>
      <c r="BH27" s="247"/>
      <c r="BI27" s="228"/>
      <c r="BJ27" s="228"/>
      <c r="BK27" s="228"/>
      <c r="BL27" s="228"/>
      <c r="BM27" s="247">
        <f t="shared" si="8"/>
        <v>0</v>
      </c>
      <c r="BN27" s="247"/>
      <c r="BO27" s="247"/>
      <c r="BP27" s="247"/>
      <c r="BQ27" s="247"/>
      <c r="BR27" s="247"/>
      <c r="BS27" s="228"/>
      <c r="BT27" s="228"/>
      <c r="BU27" s="228"/>
      <c r="BV27" s="228"/>
      <c r="BW27" s="228"/>
      <c r="BX27" s="262">
        <f t="shared" si="12"/>
        <v>0</v>
      </c>
      <c r="BY27" s="247"/>
      <c r="BZ27" s="247"/>
      <c r="CA27" s="228"/>
      <c r="CB27" s="228"/>
      <c r="CC27" s="247">
        <f t="shared" si="9"/>
        <v>0</v>
      </c>
      <c r="CD27" s="262">
        <f t="shared" si="10"/>
        <v>0</v>
      </c>
      <c r="CE27" s="266">
        <f t="shared" si="11"/>
        <v>21</v>
      </c>
    </row>
    <row r="28" ht="27" spans="1:83">
      <c r="A28" s="224" t="s">
        <v>67</v>
      </c>
      <c r="B28" s="225" t="s">
        <v>68</v>
      </c>
      <c r="C28" s="226"/>
      <c r="D28" s="227"/>
      <c r="E28" s="228"/>
      <c r="F28" s="228"/>
      <c r="G28" s="228"/>
      <c r="H28" s="228"/>
      <c r="I28" s="228"/>
      <c r="J28" s="228"/>
      <c r="K28" s="228"/>
      <c r="L28" s="228"/>
      <c r="M28" s="247">
        <f t="shared" si="0"/>
        <v>0</v>
      </c>
      <c r="N28" s="247"/>
      <c r="O28" s="247"/>
      <c r="P28" s="228"/>
      <c r="Q28" s="228"/>
      <c r="R28" s="228"/>
      <c r="S28" s="228">
        <v>5</v>
      </c>
      <c r="T28" s="228">
        <v>5</v>
      </c>
      <c r="U28" s="228"/>
      <c r="V28" s="228">
        <v>5</v>
      </c>
      <c r="W28" s="228"/>
      <c r="X28" s="247">
        <f t="shared" si="1"/>
        <v>15</v>
      </c>
      <c r="Y28" s="247"/>
      <c r="Z28" s="247"/>
      <c r="AA28" s="228"/>
      <c r="AB28" s="228">
        <v>6</v>
      </c>
      <c r="AC28" s="247">
        <f t="shared" si="2"/>
        <v>6</v>
      </c>
      <c r="AD28" s="247">
        <f t="shared" si="13"/>
        <v>21</v>
      </c>
      <c r="AE28" s="247"/>
      <c r="AF28" s="228"/>
      <c r="AG28" s="228"/>
      <c r="AH28" s="228"/>
      <c r="AI28" s="228"/>
      <c r="AJ28" s="228"/>
      <c r="AK28" s="228"/>
      <c r="AL28" s="228"/>
      <c r="AM28" s="258">
        <f t="shared" si="4"/>
        <v>0</v>
      </c>
      <c r="AN28" s="259"/>
      <c r="AO28" s="247"/>
      <c r="AP28" s="228">
        <v>1</v>
      </c>
      <c r="AQ28" s="228"/>
      <c r="AR28" s="228"/>
      <c r="AS28" s="228"/>
      <c r="AT28" s="228"/>
      <c r="AU28" s="228"/>
      <c r="AV28" s="228"/>
      <c r="AW28" s="228"/>
      <c r="AX28" s="247">
        <f t="shared" si="5"/>
        <v>1</v>
      </c>
      <c r="AY28" s="247"/>
      <c r="AZ28" s="247"/>
      <c r="BA28" s="228"/>
      <c r="BB28" s="228"/>
      <c r="BC28" s="247">
        <f t="shared" si="6"/>
        <v>0</v>
      </c>
      <c r="BD28" s="247">
        <f t="shared" si="7"/>
        <v>1</v>
      </c>
      <c r="BE28" s="247"/>
      <c r="BF28" s="247"/>
      <c r="BG28" s="247"/>
      <c r="BH28" s="247"/>
      <c r="BI28" s="228"/>
      <c r="BJ28" s="228"/>
      <c r="BK28" s="228"/>
      <c r="BL28" s="228"/>
      <c r="BM28" s="247">
        <f t="shared" si="8"/>
        <v>0</v>
      </c>
      <c r="BN28" s="247"/>
      <c r="BO28" s="247">
        <v>1</v>
      </c>
      <c r="BP28" s="247">
        <v>1</v>
      </c>
      <c r="BQ28" s="247"/>
      <c r="BR28" s="247"/>
      <c r="BS28" s="228"/>
      <c r="BT28" s="228"/>
      <c r="BU28" s="228"/>
      <c r="BV28" s="228"/>
      <c r="BW28" s="228"/>
      <c r="BX28" s="262">
        <f t="shared" si="12"/>
        <v>2</v>
      </c>
      <c r="BY28" s="247"/>
      <c r="BZ28" s="247"/>
      <c r="CA28" s="228"/>
      <c r="CB28" s="228"/>
      <c r="CC28" s="247">
        <f t="shared" si="9"/>
        <v>0</v>
      </c>
      <c r="CD28" s="262">
        <f t="shared" si="10"/>
        <v>2</v>
      </c>
      <c r="CE28" s="265">
        <f t="shared" si="11"/>
        <v>24</v>
      </c>
    </row>
    <row r="29" ht="27" spans="1:83">
      <c r="A29" s="224" t="s">
        <v>279</v>
      </c>
      <c r="B29" s="225" t="s">
        <v>68</v>
      </c>
      <c r="C29" s="226"/>
      <c r="D29" s="227"/>
      <c r="E29" s="228"/>
      <c r="F29" s="228"/>
      <c r="G29" s="228"/>
      <c r="H29" s="228"/>
      <c r="I29" s="228"/>
      <c r="J29" s="228"/>
      <c r="K29" s="228"/>
      <c r="L29" s="228"/>
      <c r="M29" s="247">
        <f t="shared" si="0"/>
        <v>0</v>
      </c>
      <c r="N29" s="247"/>
      <c r="O29" s="247">
        <v>5</v>
      </c>
      <c r="P29" s="228"/>
      <c r="Q29" s="228">
        <v>5</v>
      </c>
      <c r="R29" s="228"/>
      <c r="S29" s="228"/>
      <c r="T29" s="228"/>
      <c r="U29" s="228">
        <v>5</v>
      </c>
      <c r="V29" s="228"/>
      <c r="W29" s="228"/>
      <c r="X29" s="247">
        <f t="shared" si="1"/>
        <v>15</v>
      </c>
      <c r="Y29" s="247"/>
      <c r="Z29" s="247"/>
      <c r="AA29" s="228"/>
      <c r="AB29" s="228"/>
      <c r="AC29" s="247">
        <f t="shared" si="2"/>
        <v>0</v>
      </c>
      <c r="AD29" s="247">
        <f t="shared" si="13"/>
        <v>15</v>
      </c>
      <c r="AE29" s="247"/>
      <c r="AF29" s="228"/>
      <c r="AG29" s="228"/>
      <c r="AH29" s="228"/>
      <c r="AI29" s="228"/>
      <c r="AJ29" s="228"/>
      <c r="AK29" s="228"/>
      <c r="AL29" s="228"/>
      <c r="AM29" s="258">
        <f t="shared" si="4"/>
        <v>0</v>
      </c>
      <c r="AN29" s="259"/>
      <c r="AO29" s="247"/>
      <c r="AP29" s="228"/>
      <c r="AQ29" s="228"/>
      <c r="AR29" s="228"/>
      <c r="AS29" s="228"/>
      <c r="AT29" s="228"/>
      <c r="AU29" s="228"/>
      <c r="AV29" s="228"/>
      <c r="AW29" s="228">
        <v>1</v>
      </c>
      <c r="AX29" s="247">
        <f t="shared" si="5"/>
        <v>1</v>
      </c>
      <c r="AY29" s="247"/>
      <c r="AZ29" s="247">
        <v>1</v>
      </c>
      <c r="BA29" s="228">
        <v>1</v>
      </c>
      <c r="BB29" s="228"/>
      <c r="BC29" s="247">
        <f t="shared" si="6"/>
        <v>2</v>
      </c>
      <c r="BD29" s="247">
        <f t="shared" si="7"/>
        <v>3</v>
      </c>
      <c r="BE29" s="247"/>
      <c r="BF29" s="247"/>
      <c r="BG29" s="247"/>
      <c r="BH29" s="247"/>
      <c r="BI29" s="228"/>
      <c r="BJ29" s="228"/>
      <c r="BK29" s="228"/>
      <c r="BL29" s="228"/>
      <c r="BM29" s="247">
        <f t="shared" si="8"/>
        <v>0</v>
      </c>
      <c r="BN29" s="247"/>
      <c r="BO29" s="247"/>
      <c r="BP29" s="247"/>
      <c r="BQ29" s="247"/>
      <c r="BR29" s="247"/>
      <c r="BS29" s="228"/>
      <c r="BT29" s="228"/>
      <c r="BU29" s="228"/>
      <c r="BV29" s="228"/>
      <c r="BW29" s="228"/>
      <c r="BX29" s="262">
        <f t="shared" si="12"/>
        <v>0</v>
      </c>
      <c r="BY29" s="247"/>
      <c r="BZ29" s="247"/>
      <c r="CA29" s="228"/>
      <c r="CB29" s="228"/>
      <c r="CC29" s="247">
        <f t="shared" si="9"/>
        <v>0</v>
      </c>
      <c r="CD29" s="262">
        <f t="shared" si="10"/>
        <v>0</v>
      </c>
      <c r="CE29" s="265">
        <f>SUM(M29,X29,AC29,BD29,CD30)</f>
        <v>18</v>
      </c>
    </row>
    <row r="30" ht="27" spans="1:83">
      <c r="A30" s="224" t="s">
        <v>280</v>
      </c>
      <c r="B30" s="225" t="s">
        <v>68</v>
      </c>
      <c r="C30" s="226"/>
      <c r="D30" s="227"/>
      <c r="E30" s="228"/>
      <c r="F30" s="228"/>
      <c r="G30" s="228"/>
      <c r="H30" s="228"/>
      <c r="I30" s="228"/>
      <c r="J30" s="228"/>
      <c r="K30" s="228"/>
      <c r="L30" s="228"/>
      <c r="M30" s="247">
        <f t="shared" si="0"/>
        <v>0</v>
      </c>
      <c r="N30" s="247">
        <v>5</v>
      </c>
      <c r="O30" s="247"/>
      <c r="P30" s="228">
        <v>5</v>
      </c>
      <c r="Q30" s="228"/>
      <c r="R30" s="228">
        <v>5</v>
      </c>
      <c r="S30" s="228"/>
      <c r="T30" s="228"/>
      <c r="U30" s="228"/>
      <c r="V30" s="228"/>
      <c r="W30" s="228"/>
      <c r="X30" s="247">
        <f t="shared" si="1"/>
        <v>15</v>
      </c>
      <c r="Y30" s="247"/>
      <c r="Z30" s="247"/>
      <c r="AA30" s="228"/>
      <c r="AB30" s="228"/>
      <c r="AC30" s="247">
        <f t="shared" si="2"/>
        <v>0</v>
      </c>
      <c r="AD30" s="247">
        <f t="shared" si="13"/>
        <v>15</v>
      </c>
      <c r="AE30" s="247"/>
      <c r="AF30" s="228"/>
      <c r="AG30" s="228"/>
      <c r="AH30" s="228"/>
      <c r="AI30" s="228"/>
      <c r="AJ30" s="228"/>
      <c r="AK30" s="228"/>
      <c r="AL30" s="228"/>
      <c r="AM30" s="258">
        <f t="shared" si="4"/>
        <v>0</v>
      </c>
      <c r="AN30" s="259"/>
      <c r="AO30" s="247"/>
      <c r="AP30" s="228"/>
      <c r="AQ30" s="228"/>
      <c r="AR30" s="228"/>
      <c r="AS30" s="228"/>
      <c r="AT30" s="228"/>
      <c r="AU30" s="228"/>
      <c r="AV30" s="228"/>
      <c r="AW30" s="228"/>
      <c r="AX30" s="247">
        <f t="shared" si="5"/>
        <v>0</v>
      </c>
      <c r="AY30" s="247"/>
      <c r="AZ30" s="247"/>
      <c r="BA30" s="228"/>
      <c r="BB30" s="228"/>
      <c r="BC30" s="247">
        <f t="shared" si="6"/>
        <v>0</v>
      </c>
      <c r="BD30" s="247">
        <f t="shared" si="7"/>
        <v>0</v>
      </c>
      <c r="BE30" s="247"/>
      <c r="BF30" s="247"/>
      <c r="BG30" s="247"/>
      <c r="BH30" s="247"/>
      <c r="BI30" s="228"/>
      <c r="BJ30" s="228"/>
      <c r="BK30" s="228"/>
      <c r="BL30" s="228"/>
      <c r="BM30" s="247">
        <f t="shared" si="8"/>
        <v>0</v>
      </c>
      <c r="BN30" s="247"/>
      <c r="BO30" s="247"/>
      <c r="BP30" s="247"/>
      <c r="BQ30" s="247"/>
      <c r="BR30" s="247"/>
      <c r="BS30" s="228"/>
      <c r="BT30" s="228"/>
      <c r="BU30" s="228"/>
      <c r="BV30" s="228"/>
      <c r="BW30" s="228"/>
      <c r="BX30" s="262">
        <f>SUM(BN29:BW29)</f>
        <v>0</v>
      </c>
      <c r="BY30" s="247"/>
      <c r="BZ30" s="247"/>
      <c r="CA30" s="228"/>
      <c r="CB30" s="228"/>
      <c r="CC30" s="247">
        <f>SUM(BY29:CB29)</f>
        <v>0</v>
      </c>
      <c r="CD30" s="262">
        <f>SUM(BM29,BX30,CC30)</f>
        <v>0</v>
      </c>
      <c r="CE30" s="265">
        <f>SUM(M30,X30,AC30,BD30,CD31)</f>
        <v>15</v>
      </c>
    </row>
    <row r="31" ht="27" spans="1:83">
      <c r="A31" s="224" t="s">
        <v>281</v>
      </c>
      <c r="B31" s="225" t="s">
        <v>282</v>
      </c>
      <c r="C31" s="226"/>
      <c r="D31" s="227"/>
      <c r="E31" s="228"/>
      <c r="F31" s="228"/>
      <c r="G31" s="228"/>
      <c r="H31" s="228"/>
      <c r="I31" s="228"/>
      <c r="J31" s="228"/>
      <c r="K31" s="228"/>
      <c r="L31" s="228"/>
      <c r="M31" s="247">
        <f t="shared" si="0"/>
        <v>0</v>
      </c>
      <c r="N31" s="247"/>
      <c r="O31" s="247"/>
      <c r="P31" s="228"/>
      <c r="Q31" s="228"/>
      <c r="R31" s="228"/>
      <c r="S31" s="228"/>
      <c r="T31" s="228"/>
      <c r="U31" s="228"/>
      <c r="V31" s="228"/>
      <c r="W31" s="228">
        <v>5</v>
      </c>
      <c r="X31" s="247">
        <f t="shared" si="1"/>
        <v>5</v>
      </c>
      <c r="Y31" s="247"/>
      <c r="Z31" s="247">
        <v>3</v>
      </c>
      <c r="AA31" s="228">
        <v>3</v>
      </c>
      <c r="AB31" s="228"/>
      <c r="AC31" s="247">
        <f t="shared" si="2"/>
        <v>6</v>
      </c>
      <c r="AD31" s="247">
        <f t="shared" si="13"/>
        <v>11</v>
      </c>
      <c r="AE31" s="247"/>
      <c r="AF31" s="228"/>
      <c r="AG31" s="228"/>
      <c r="AH31" s="228"/>
      <c r="AI31" s="228"/>
      <c r="AJ31" s="228"/>
      <c r="AK31" s="228"/>
      <c r="AL31" s="228"/>
      <c r="AM31" s="258">
        <f t="shared" si="4"/>
        <v>0</v>
      </c>
      <c r="AN31" s="259"/>
      <c r="AO31" s="247"/>
      <c r="AP31" s="228"/>
      <c r="AQ31" s="228"/>
      <c r="AR31" s="228"/>
      <c r="AS31" s="228"/>
      <c r="AT31" s="228"/>
      <c r="AU31" s="228"/>
      <c r="AV31" s="228"/>
      <c r="AW31" s="228"/>
      <c r="AX31" s="247">
        <f t="shared" si="5"/>
        <v>0</v>
      </c>
      <c r="AY31" s="247"/>
      <c r="AZ31" s="247"/>
      <c r="BA31" s="228"/>
      <c r="BB31" s="228"/>
      <c r="BC31" s="247">
        <f t="shared" si="6"/>
        <v>0</v>
      </c>
      <c r="BD31" s="247">
        <f t="shared" si="7"/>
        <v>0</v>
      </c>
      <c r="BE31" s="247"/>
      <c r="BF31" s="247"/>
      <c r="BG31" s="247"/>
      <c r="BH31" s="247"/>
      <c r="BI31" s="228"/>
      <c r="BJ31" s="228"/>
      <c r="BK31" s="228"/>
      <c r="BL31" s="228"/>
      <c r="BM31" s="247">
        <f t="shared" si="8"/>
        <v>0</v>
      </c>
      <c r="BN31" s="247"/>
      <c r="BO31" s="247"/>
      <c r="BP31" s="247"/>
      <c r="BQ31" s="247"/>
      <c r="BR31" s="247"/>
      <c r="BS31" s="228"/>
      <c r="BT31" s="228"/>
      <c r="BU31" s="228"/>
      <c r="BV31" s="228"/>
      <c r="BW31" s="228"/>
      <c r="BX31" s="262">
        <f t="shared" si="12"/>
        <v>0</v>
      </c>
      <c r="BY31" s="247"/>
      <c r="BZ31" s="247"/>
      <c r="CA31" s="228"/>
      <c r="CB31" s="228"/>
      <c r="CC31" s="247">
        <f t="shared" si="9"/>
        <v>0</v>
      </c>
      <c r="CD31" s="262">
        <f t="shared" si="10"/>
        <v>0</v>
      </c>
      <c r="CE31" s="265">
        <f t="shared" si="11"/>
        <v>11</v>
      </c>
    </row>
    <row r="32" ht="27" spans="1:83">
      <c r="A32" s="235" t="s">
        <v>79</v>
      </c>
      <c r="B32" s="225" t="s">
        <v>283</v>
      </c>
      <c r="C32" s="226"/>
      <c r="D32" s="227"/>
      <c r="E32" s="228"/>
      <c r="F32" s="228"/>
      <c r="G32" s="228"/>
      <c r="H32" s="228"/>
      <c r="I32" s="228"/>
      <c r="J32" s="228"/>
      <c r="K32" s="228"/>
      <c r="L32" s="228"/>
      <c r="M32" s="247">
        <f t="shared" si="0"/>
        <v>0</v>
      </c>
      <c r="N32" s="247">
        <v>5</v>
      </c>
      <c r="O32" s="247"/>
      <c r="P32" s="228"/>
      <c r="Q32" s="228"/>
      <c r="R32" s="228"/>
      <c r="S32" s="228"/>
      <c r="T32" s="228"/>
      <c r="U32" s="228"/>
      <c r="V32" s="228">
        <v>5</v>
      </c>
      <c r="W32" s="228"/>
      <c r="X32" s="247">
        <f t="shared" si="1"/>
        <v>10</v>
      </c>
      <c r="Y32" s="247"/>
      <c r="Z32" s="247"/>
      <c r="AA32" s="228"/>
      <c r="AB32" s="228">
        <v>5</v>
      </c>
      <c r="AC32" s="247">
        <f t="shared" si="2"/>
        <v>5</v>
      </c>
      <c r="AD32" s="247">
        <f t="shared" si="13"/>
        <v>15</v>
      </c>
      <c r="AE32" s="247"/>
      <c r="AF32" s="228"/>
      <c r="AG32" s="228"/>
      <c r="AH32" s="228"/>
      <c r="AI32" s="228"/>
      <c r="AJ32" s="228"/>
      <c r="AK32" s="228"/>
      <c r="AL32" s="228"/>
      <c r="AM32" s="258">
        <f t="shared" si="4"/>
        <v>0</v>
      </c>
      <c r="AN32" s="259"/>
      <c r="AO32" s="247"/>
      <c r="AP32" s="228"/>
      <c r="AQ32" s="228"/>
      <c r="AR32" s="228"/>
      <c r="AS32" s="228"/>
      <c r="AT32" s="228"/>
      <c r="AU32" s="228"/>
      <c r="AV32" s="228"/>
      <c r="AW32" s="228"/>
      <c r="AX32" s="247">
        <f t="shared" si="5"/>
        <v>0</v>
      </c>
      <c r="AY32" s="247"/>
      <c r="AZ32" s="247"/>
      <c r="BA32" s="228"/>
      <c r="BB32" s="228"/>
      <c r="BC32" s="247">
        <f t="shared" si="6"/>
        <v>0</v>
      </c>
      <c r="BD32" s="247">
        <f t="shared" si="7"/>
        <v>0</v>
      </c>
      <c r="BE32" s="247"/>
      <c r="BF32" s="247"/>
      <c r="BG32" s="247"/>
      <c r="BH32" s="247"/>
      <c r="BI32" s="228"/>
      <c r="BJ32" s="228"/>
      <c r="BK32" s="228"/>
      <c r="BL32" s="228"/>
      <c r="BM32" s="247">
        <f t="shared" si="8"/>
        <v>0</v>
      </c>
      <c r="BN32" s="247"/>
      <c r="BO32" s="247"/>
      <c r="BP32" s="247"/>
      <c r="BQ32" s="247"/>
      <c r="BR32" s="247"/>
      <c r="BS32" s="228"/>
      <c r="BT32" s="228"/>
      <c r="BU32" s="228"/>
      <c r="BV32" s="228"/>
      <c r="BW32" s="228"/>
      <c r="BX32" s="262">
        <f t="shared" si="12"/>
        <v>0</v>
      </c>
      <c r="BY32" s="247"/>
      <c r="BZ32" s="247"/>
      <c r="CA32" s="228"/>
      <c r="CB32" s="228"/>
      <c r="CC32" s="247">
        <f t="shared" si="9"/>
        <v>0</v>
      </c>
      <c r="CD32" s="262">
        <f t="shared" si="10"/>
        <v>0</v>
      </c>
      <c r="CE32" s="265">
        <f t="shared" si="11"/>
        <v>15</v>
      </c>
    </row>
    <row r="33" ht="27" spans="1:83">
      <c r="A33" s="234" t="s">
        <v>284</v>
      </c>
      <c r="B33" s="225" t="s">
        <v>285</v>
      </c>
      <c r="C33" s="226"/>
      <c r="D33" s="227"/>
      <c r="E33" s="228"/>
      <c r="F33" s="228">
        <v>1</v>
      </c>
      <c r="G33" s="228"/>
      <c r="H33" s="228">
        <v>1</v>
      </c>
      <c r="I33" s="228"/>
      <c r="J33" s="228">
        <v>1</v>
      </c>
      <c r="K33" s="228"/>
      <c r="L33" s="228">
        <v>1</v>
      </c>
      <c r="M33" s="247">
        <f t="shared" si="0"/>
        <v>4</v>
      </c>
      <c r="N33" s="247">
        <v>1</v>
      </c>
      <c r="O33" s="247"/>
      <c r="P33" s="228">
        <v>1</v>
      </c>
      <c r="Q33" s="228"/>
      <c r="R33" s="228"/>
      <c r="S33" s="228"/>
      <c r="T33" s="228"/>
      <c r="U33" s="228"/>
      <c r="V33" s="228"/>
      <c r="W33" s="228"/>
      <c r="X33" s="247">
        <f t="shared" si="1"/>
        <v>2</v>
      </c>
      <c r="Y33" s="247"/>
      <c r="Z33" s="247"/>
      <c r="AA33" s="228"/>
      <c r="AB33" s="228"/>
      <c r="AC33" s="247">
        <f t="shared" si="2"/>
        <v>0</v>
      </c>
      <c r="AD33" s="247">
        <f t="shared" si="13"/>
        <v>6</v>
      </c>
      <c r="AE33" s="247"/>
      <c r="AF33" s="228"/>
      <c r="AG33" s="228"/>
      <c r="AH33" s="228"/>
      <c r="AI33" s="228"/>
      <c r="AJ33" s="228"/>
      <c r="AK33" s="228"/>
      <c r="AL33" s="228"/>
      <c r="AM33" s="258">
        <f t="shared" si="4"/>
        <v>0</v>
      </c>
      <c r="AN33" s="259"/>
      <c r="AO33" s="247"/>
      <c r="AP33" s="228"/>
      <c r="AQ33" s="228"/>
      <c r="AR33" s="228"/>
      <c r="AS33" s="228"/>
      <c r="AT33" s="228"/>
      <c r="AU33" s="228"/>
      <c r="AV33" s="228"/>
      <c r="AW33" s="228"/>
      <c r="AX33" s="247">
        <f t="shared" si="5"/>
        <v>0</v>
      </c>
      <c r="AY33" s="247"/>
      <c r="AZ33" s="247"/>
      <c r="BA33" s="228"/>
      <c r="BB33" s="228"/>
      <c r="BC33" s="247">
        <f t="shared" si="6"/>
        <v>0</v>
      </c>
      <c r="BD33" s="247">
        <f t="shared" si="7"/>
        <v>0</v>
      </c>
      <c r="BE33" s="247"/>
      <c r="BF33" s="247"/>
      <c r="BG33" s="247"/>
      <c r="BH33" s="247"/>
      <c r="BI33" s="228"/>
      <c r="BJ33" s="228"/>
      <c r="BK33" s="228"/>
      <c r="BL33" s="228"/>
      <c r="BM33" s="247">
        <f t="shared" si="8"/>
        <v>0</v>
      </c>
      <c r="BN33" s="247"/>
      <c r="BO33" s="247"/>
      <c r="BP33" s="247"/>
      <c r="BQ33" s="247"/>
      <c r="BR33" s="262"/>
      <c r="BS33" s="228"/>
      <c r="BT33" s="228"/>
      <c r="BU33" s="228"/>
      <c r="BV33" s="228"/>
      <c r="BW33" s="228"/>
      <c r="BX33" s="262">
        <f t="shared" si="12"/>
        <v>0</v>
      </c>
      <c r="BY33" s="247"/>
      <c r="BZ33" s="247"/>
      <c r="CA33" s="228"/>
      <c r="CB33" s="228"/>
      <c r="CC33" s="247">
        <f t="shared" si="9"/>
        <v>0</v>
      </c>
      <c r="CD33" s="262">
        <f t="shared" si="10"/>
        <v>0</v>
      </c>
      <c r="CE33" s="265">
        <f t="shared" si="11"/>
        <v>6</v>
      </c>
    </row>
    <row r="34" ht="27" spans="1:83">
      <c r="A34" s="224" t="s">
        <v>85</v>
      </c>
      <c r="B34" s="225" t="s">
        <v>286</v>
      </c>
      <c r="C34" s="226"/>
      <c r="D34" s="227"/>
      <c r="E34" s="228"/>
      <c r="F34" s="228"/>
      <c r="G34" s="228"/>
      <c r="H34" s="228"/>
      <c r="I34" s="228"/>
      <c r="J34" s="228"/>
      <c r="K34" s="228"/>
      <c r="L34" s="228"/>
      <c r="M34" s="247">
        <f t="shared" si="0"/>
        <v>0</v>
      </c>
      <c r="N34" s="247">
        <v>3</v>
      </c>
      <c r="O34" s="247"/>
      <c r="P34" s="228">
        <v>3</v>
      </c>
      <c r="Q34" s="228"/>
      <c r="R34" s="228">
        <v>3</v>
      </c>
      <c r="S34" s="228">
        <v>3</v>
      </c>
      <c r="T34" s="228"/>
      <c r="U34" s="228">
        <v>3</v>
      </c>
      <c r="V34" s="228"/>
      <c r="W34" s="228">
        <v>3</v>
      </c>
      <c r="X34" s="247">
        <f t="shared" si="1"/>
        <v>18</v>
      </c>
      <c r="Y34" s="247"/>
      <c r="Z34" s="247">
        <v>1.5</v>
      </c>
      <c r="AA34" s="228">
        <v>1.5</v>
      </c>
      <c r="AB34" s="228">
        <v>3</v>
      </c>
      <c r="AC34" s="247">
        <f t="shared" si="2"/>
        <v>6</v>
      </c>
      <c r="AD34" s="247">
        <f t="shared" si="13"/>
        <v>24</v>
      </c>
      <c r="AE34" s="247"/>
      <c r="AF34" s="228"/>
      <c r="AG34" s="228"/>
      <c r="AH34" s="228"/>
      <c r="AI34" s="228"/>
      <c r="AJ34" s="228"/>
      <c r="AK34" s="228"/>
      <c r="AL34" s="228"/>
      <c r="AM34" s="258">
        <f t="shared" si="4"/>
        <v>0</v>
      </c>
      <c r="AN34" s="259"/>
      <c r="AO34" s="247"/>
      <c r="AP34" s="228"/>
      <c r="AQ34" s="228">
        <v>1</v>
      </c>
      <c r="AR34" s="228"/>
      <c r="AS34" s="228"/>
      <c r="AT34" s="228"/>
      <c r="AU34" s="228"/>
      <c r="AV34" s="228"/>
      <c r="AW34" s="228"/>
      <c r="AX34" s="247">
        <f t="shared" si="5"/>
        <v>1</v>
      </c>
      <c r="AY34" s="247"/>
      <c r="AZ34" s="247"/>
      <c r="BA34" s="228">
        <v>0.5</v>
      </c>
      <c r="BB34" s="228">
        <v>1</v>
      </c>
      <c r="BC34" s="247">
        <f t="shared" si="6"/>
        <v>1.5</v>
      </c>
      <c r="BD34" s="247">
        <f t="shared" si="7"/>
        <v>2.5</v>
      </c>
      <c r="BE34" s="247"/>
      <c r="BF34" s="247"/>
      <c r="BG34" s="247"/>
      <c r="BH34" s="247"/>
      <c r="BI34" s="228"/>
      <c r="BJ34" s="228"/>
      <c r="BK34" s="228"/>
      <c r="BL34" s="228"/>
      <c r="BM34" s="247">
        <f t="shared" si="8"/>
        <v>0</v>
      </c>
      <c r="BN34" s="247">
        <v>1</v>
      </c>
      <c r="BO34" s="247"/>
      <c r="BP34" s="247"/>
      <c r="BQ34" s="247"/>
      <c r="BR34" s="247"/>
      <c r="BS34" s="228"/>
      <c r="BT34" s="228"/>
      <c r="BU34" s="228"/>
      <c r="BV34" s="228"/>
      <c r="BW34" s="228"/>
      <c r="BX34" s="262">
        <f t="shared" si="12"/>
        <v>1</v>
      </c>
      <c r="BY34" s="247"/>
      <c r="BZ34" s="247"/>
      <c r="CA34" s="228"/>
      <c r="CB34" s="228"/>
      <c r="CC34" s="247">
        <f t="shared" si="9"/>
        <v>0</v>
      </c>
      <c r="CD34" s="262">
        <f t="shared" si="10"/>
        <v>1</v>
      </c>
      <c r="CE34" s="265">
        <f t="shared" si="11"/>
        <v>27.5</v>
      </c>
    </row>
    <row r="35" ht="27" spans="1:83">
      <c r="A35" s="234" t="s">
        <v>287</v>
      </c>
      <c r="B35" s="225" t="s">
        <v>286</v>
      </c>
      <c r="C35" s="226"/>
      <c r="D35" s="227"/>
      <c r="E35" s="228"/>
      <c r="F35" s="228">
        <v>3</v>
      </c>
      <c r="G35" s="228"/>
      <c r="H35" s="228"/>
      <c r="I35" s="228"/>
      <c r="J35" s="228"/>
      <c r="K35" s="228">
        <v>3</v>
      </c>
      <c r="L35" s="228">
        <v>3</v>
      </c>
      <c r="M35" s="247">
        <f t="shared" si="0"/>
        <v>9</v>
      </c>
      <c r="N35" s="247"/>
      <c r="O35" s="247"/>
      <c r="P35" s="228"/>
      <c r="Q35" s="228"/>
      <c r="R35" s="228"/>
      <c r="S35" s="228"/>
      <c r="T35" s="228"/>
      <c r="U35" s="228"/>
      <c r="V35" s="228"/>
      <c r="W35" s="228"/>
      <c r="X35" s="247">
        <f t="shared" si="1"/>
        <v>0</v>
      </c>
      <c r="Y35" s="247"/>
      <c r="Z35" s="247"/>
      <c r="AA35" s="228"/>
      <c r="AB35" s="228"/>
      <c r="AC35" s="247">
        <f t="shared" si="2"/>
        <v>0</v>
      </c>
      <c r="AD35" s="247">
        <f t="shared" si="13"/>
        <v>9</v>
      </c>
      <c r="AE35" s="247"/>
      <c r="AF35" s="228"/>
      <c r="AG35" s="228"/>
      <c r="AH35" s="228"/>
      <c r="AI35" s="228"/>
      <c r="AJ35" s="228"/>
      <c r="AK35" s="228"/>
      <c r="AL35" s="228"/>
      <c r="AM35" s="258">
        <f t="shared" si="4"/>
        <v>0</v>
      </c>
      <c r="AN35" s="259"/>
      <c r="AO35" s="247"/>
      <c r="AP35" s="228"/>
      <c r="AQ35" s="228"/>
      <c r="AR35" s="228"/>
      <c r="AS35" s="228"/>
      <c r="AT35" s="228"/>
      <c r="AU35" s="228"/>
      <c r="AV35" s="228"/>
      <c r="AW35" s="228"/>
      <c r="AX35" s="247">
        <f t="shared" si="5"/>
        <v>0</v>
      </c>
      <c r="AY35" s="247"/>
      <c r="AZ35" s="247"/>
      <c r="BA35" s="228"/>
      <c r="BB35" s="228"/>
      <c r="BC35" s="247">
        <f t="shared" si="6"/>
        <v>0</v>
      </c>
      <c r="BD35" s="247">
        <f t="shared" si="7"/>
        <v>0</v>
      </c>
      <c r="BE35" s="247"/>
      <c r="BF35" s="247"/>
      <c r="BG35" s="247"/>
      <c r="BH35" s="247"/>
      <c r="BI35" s="228"/>
      <c r="BJ35" s="228"/>
      <c r="BK35" s="228"/>
      <c r="BL35" s="228"/>
      <c r="BM35" s="247">
        <f t="shared" si="8"/>
        <v>0</v>
      </c>
      <c r="BN35" s="247"/>
      <c r="BO35" s="247"/>
      <c r="BP35" s="247"/>
      <c r="BQ35" s="247"/>
      <c r="BR35" s="247"/>
      <c r="BS35" s="228"/>
      <c r="BT35" s="228"/>
      <c r="BU35" s="228"/>
      <c r="BV35" s="228"/>
      <c r="BW35" s="228"/>
      <c r="BX35" s="262">
        <f t="shared" si="12"/>
        <v>0</v>
      </c>
      <c r="BY35" s="247"/>
      <c r="BZ35" s="247"/>
      <c r="CA35" s="228"/>
      <c r="CB35" s="228"/>
      <c r="CC35" s="247">
        <f t="shared" si="9"/>
        <v>0</v>
      </c>
      <c r="CD35" s="262">
        <f t="shared" si="10"/>
        <v>0</v>
      </c>
      <c r="CE35" s="265">
        <f t="shared" si="11"/>
        <v>9</v>
      </c>
    </row>
    <row r="36" ht="27" spans="1:83">
      <c r="A36" s="232" t="s">
        <v>114</v>
      </c>
      <c r="B36" s="225" t="s">
        <v>115</v>
      </c>
      <c r="C36" s="226"/>
      <c r="D36" s="227"/>
      <c r="E36" s="228"/>
      <c r="F36" s="228"/>
      <c r="G36" s="228"/>
      <c r="H36" s="228"/>
      <c r="I36" s="228"/>
      <c r="J36" s="228"/>
      <c r="K36" s="228"/>
      <c r="L36" s="228"/>
      <c r="M36" s="247">
        <f t="shared" si="0"/>
        <v>0</v>
      </c>
      <c r="N36" s="247"/>
      <c r="O36" s="247">
        <v>3</v>
      </c>
      <c r="P36" s="228"/>
      <c r="Q36" s="228">
        <v>3</v>
      </c>
      <c r="R36" s="228"/>
      <c r="S36" s="228"/>
      <c r="T36" s="228">
        <v>3</v>
      </c>
      <c r="U36" s="228"/>
      <c r="V36" s="228">
        <v>3</v>
      </c>
      <c r="W36" s="228"/>
      <c r="X36" s="247">
        <f t="shared" si="1"/>
        <v>12</v>
      </c>
      <c r="Y36" s="247"/>
      <c r="Z36" s="247"/>
      <c r="AA36" s="228"/>
      <c r="AB36" s="228"/>
      <c r="AC36" s="247">
        <f t="shared" si="2"/>
        <v>0</v>
      </c>
      <c r="AD36" s="247">
        <f t="shared" si="13"/>
        <v>12</v>
      </c>
      <c r="AE36" s="247"/>
      <c r="AF36" s="228"/>
      <c r="AG36" s="228"/>
      <c r="AH36" s="228"/>
      <c r="AI36" s="228"/>
      <c r="AJ36" s="228"/>
      <c r="AK36" s="228"/>
      <c r="AL36" s="228"/>
      <c r="AM36" s="258">
        <f t="shared" si="4"/>
        <v>0</v>
      </c>
      <c r="AN36" s="259"/>
      <c r="AO36" s="247"/>
      <c r="AP36" s="228"/>
      <c r="AQ36" s="228"/>
      <c r="AR36" s="228"/>
      <c r="AS36" s="228"/>
      <c r="AT36" s="228"/>
      <c r="AU36" s="228"/>
      <c r="AV36" s="228"/>
      <c r="AW36" s="228"/>
      <c r="AX36" s="247">
        <f t="shared" si="5"/>
        <v>0</v>
      </c>
      <c r="AY36" s="247"/>
      <c r="AZ36" s="247"/>
      <c r="BA36" s="228"/>
      <c r="BB36" s="228"/>
      <c r="BC36" s="247">
        <f t="shared" si="6"/>
        <v>0</v>
      </c>
      <c r="BD36" s="247">
        <f t="shared" si="7"/>
        <v>0</v>
      </c>
      <c r="BE36" s="247"/>
      <c r="BF36" s="247"/>
      <c r="BG36" s="247"/>
      <c r="BH36" s="247"/>
      <c r="BI36" s="228"/>
      <c r="BJ36" s="228"/>
      <c r="BK36" s="228"/>
      <c r="BL36" s="228"/>
      <c r="BM36" s="247">
        <f t="shared" si="8"/>
        <v>0</v>
      </c>
      <c r="BN36" s="247"/>
      <c r="BO36" s="247"/>
      <c r="BP36" s="247"/>
      <c r="BQ36" s="247"/>
      <c r="BR36" s="247"/>
      <c r="BS36" s="228"/>
      <c r="BT36" s="228"/>
      <c r="BU36" s="228"/>
      <c r="BV36" s="228"/>
      <c r="BW36" s="228"/>
      <c r="BX36" s="262">
        <f t="shared" si="12"/>
        <v>0</v>
      </c>
      <c r="BY36" s="247"/>
      <c r="BZ36" s="247"/>
      <c r="CA36" s="228"/>
      <c r="CB36" s="228"/>
      <c r="CC36" s="247">
        <f t="shared" si="9"/>
        <v>0</v>
      </c>
      <c r="CD36" s="262">
        <f t="shared" si="10"/>
        <v>0</v>
      </c>
      <c r="CE36" s="265">
        <f t="shared" si="11"/>
        <v>12</v>
      </c>
    </row>
    <row r="37" ht="27" spans="1:83">
      <c r="A37" s="232" t="s">
        <v>288</v>
      </c>
      <c r="B37" s="225" t="s">
        <v>105</v>
      </c>
      <c r="C37" s="226"/>
      <c r="D37" s="227"/>
      <c r="E37" s="228"/>
      <c r="F37" s="228"/>
      <c r="G37" s="228"/>
      <c r="H37" s="228"/>
      <c r="I37" s="228"/>
      <c r="J37" s="228"/>
      <c r="K37" s="228"/>
      <c r="L37" s="228"/>
      <c r="M37" s="247">
        <f t="shared" si="0"/>
        <v>0</v>
      </c>
      <c r="N37" s="247"/>
      <c r="O37" s="247"/>
      <c r="P37" s="228"/>
      <c r="Q37" s="228"/>
      <c r="R37" s="228"/>
      <c r="S37" s="228"/>
      <c r="T37" s="228"/>
      <c r="U37" s="228"/>
      <c r="V37" s="228"/>
      <c r="W37" s="228">
        <v>2</v>
      </c>
      <c r="X37" s="247">
        <f t="shared" si="1"/>
        <v>2</v>
      </c>
      <c r="Y37" s="247"/>
      <c r="Z37" s="247"/>
      <c r="AA37" s="228"/>
      <c r="AB37" s="228"/>
      <c r="AC37" s="247">
        <f t="shared" si="2"/>
        <v>0</v>
      </c>
      <c r="AD37" s="247">
        <f t="shared" si="13"/>
        <v>2</v>
      </c>
      <c r="AE37" s="247"/>
      <c r="AF37" s="228"/>
      <c r="AG37" s="228"/>
      <c r="AH37" s="228"/>
      <c r="AI37" s="228"/>
      <c r="AJ37" s="228"/>
      <c r="AK37" s="228"/>
      <c r="AL37" s="228"/>
      <c r="AM37" s="258">
        <f t="shared" si="4"/>
        <v>0</v>
      </c>
      <c r="AN37" s="259"/>
      <c r="AO37" s="247"/>
      <c r="AP37" s="228"/>
      <c r="AQ37" s="228"/>
      <c r="AR37" s="228"/>
      <c r="AS37" s="228"/>
      <c r="AT37" s="228"/>
      <c r="AU37" s="228"/>
      <c r="AV37" s="228"/>
      <c r="AW37" s="228"/>
      <c r="AX37" s="247">
        <f t="shared" si="5"/>
        <v>0</v>
      </c>
      <c r="AY37" s="247"/>
      <c r="AZ37" s="247"/>
      <c r="BA37" s="228"/>
      <c r="BB37" s="228"/>
      <c r="BC37" s="247">
        <f t="shared" si="6"/>
        <v>0</v>
      </c>
      <c r="BD37" s="247">
        <f t="shared" si="7"/>
        <v>0</v>
      </c>
      <c r="BE37" s="247"/>
      <c r="BF37" s="247"/>
      <c r="BG37" s="247"/>
      <c r="BH37" s="247"/>
      <c r="BI37" s="228"/>
      <c r="BJ37" s="228"/>
      <c r="BK37" s="228"/>
      <c r="BL37" s="228"/>
      <c r="BM37" s="247">
        <f t="shared" si="8"/>
        <v>0</v>
      </c>
      <c r="BN37" s="247"/>
      <c r="BO37" s="247"/>
      <c r="BP37" s="247"/>
      <c r="BQ37" s="247"/>
      <c r="BR37" s="247"/>
      <c r="BS37" s="228"/>
      <c r="BT37" s="228"/>
      <c r="BU37" s="228"/>
      <c r="BV37" s="228"/>
      <c r="BW37" s="228"/>
      <c r="BX37" s="262">
        <f t="shared" si="12"/>
        <v>0</v>
      </c>
      <c r="BY37" s="247"/>
      <c r="BZ37" s="247"/>
      <c r="CA37" s="228"/>
      <c r="CB37" s="228"/>
      <c r="CC37" s="247">
        <f t="shared" si="9"/>
        <v>0</v>
      </c>
      <c r="CD37" s="262">
        <f t="shared" si="10"/>
        <v>0</v>
      </c>
      <c r="CE37" s="265">
        <f t="shared" si="11"/>
        <v>2</v>
      </c>
    </row>
    <row r="38" ht="27" spans="1:83">
      <c r="A38" s="229"/>
      <c r="B38" s="225" t="s">
        <v>270</v>
      </c>
      <c r="C38" s="226"/>
      <c r="D38" s="227"/>
      <c r="E38" s="228"/>
      <c r="F38" s="228"/>
      <c r="G38" s="228"/>
      <c r="H38" s="228"/>
      <c r="I38" s="228"/>
      <c r="J38" s="228"/>
      <c r="K38" s="228"/>
      <c r="L38" s="228"/>
      <c r="M38" s="247">
        <f t="shared" si="0"/>
        <v>0</v>
      </c>
      <c r="N38" s="247"/>
      <c r="O38" s="247"/>
      <c r="P38" s="228">
        <v>2</v>
      </c>
      <c r="Q38" s="228"/>
      <c r="R38" s="228">
        <v>2</v>
      </c>
      <c r="S38" s="228"/>
      <c r="T38" s="228"/>
      <c r="U38" s="228">
        <v>2</v>
      </c>
      <c r="V38" s="228"/>
      <c r="W38" s="228">
        <v>2</v>
      </c>
      <c r="X38" s="247">
        <f t="shared" si="1"/>
        <v>8</v>
      </c>
      <c r="Y38" s="247"/>
      <c r="Z38" s="247">
        <v>2</v>
      </c>
      <c r="AA38" s="228"/>
      <c r="AB38" s="228"/>
      <c r="AC38" s="247">
        <f t="shared" si="2"/>
        <v>2</v>
      </c>
      <c r="AD38" s="247">
        <f t="shared" si="13"/>
        <v>10</v>
      </c>
      <c r="AE38" s="247"/>
      <c r="AF38" s="228"/>
      <c r="AG38" s="228"/>
      <c r="AH38" s="228"/>
      <c r="AI38" s="228"/>
      <c r="AJ38" s="228"/>
      <c r="AK38" s="228"/>
      <c r="AL38" s="228"/>
      <c r="AM38" s="258">
        <f t="shared" si="4"/>
        <v>0</v>
      </c>
      <c r="AN38" s="259"/>
      <c r="AO38" s="247"/>
      <c r="AP38" s="228"/>
      <c r="AQ38" s="228">
        <v>1</v>
      </c>
      <c r="AR38" s="261"/>
      <c r="AS38" s="228"/>
      <c r="AT38" s="228"/>
      <c r="AU38" s="228"/>
      <c r="AV38" s="228"/>
      <c r="AW38" s="228"/>
      <c r="AX38" s="247">
        <f t="shared" si="5"/>
        <v>1</v>
      </c>
      <c r="AY38" s="247"/>
      <c r="AZ38" s="247">
        <v>0.5</v>
      </c>
      <c r="BA38" s="228">
        <v>0.5</v>
      </c>
      <c r="BB38" s="228"/>
      <c r="BC38" s="247">
        <f t="shared" si="6"/>
        <v>1</v>
      </c>
      <c r="BD38" s="247">
        <f t="shared" si="7"/>
        <v>2</v>
      </c>
      <c r="BE38" s="247"/>
      <c r="BF38" s="247"/>
      <c r="BG38" s="247"/>
      <c r="BH38" s="247"/>
      <c r="BI38" s="228"/>
      <c r="BJ38" s="228"/>
      <c r="BK38" s="228"/>
      <c r="BL38" s="228"/>
      <c r="BM38" s="247">
        <f t="shared" si="8"/>
        <v>0</v>
      </c>
      <c r="BN38" s="247"/>
      <c r="BO38" s="247"/>
      <c r="BP38" s="247"/>
      <c r="BQ38" s="247"/>
      <c r="BR38" s="247"/>
      <c r="BS38" s="228"/>
      <c r="BT38" s="228"/>
      <c r="BU38" s="228"/>
      <c r="BV38" s="228"/>
      <c r="BW38" s="228"/>
      <c r="BX38" s="262">
        <f t="shared" si="12"/>
        <v>0</v>
      </c>
      <c r="BY38" s="247"/>
      <c r="BZ38" s="247"/>
      <c r="CA38" s="228"/>
      <c r="CB38" s="228"/>
      <c r="CC38" s="247">
        <f t="shared" si="9"/>
        <v>0</v>
      </c>
      <c r="CD38" s="262">
        <f t="shared" si="10"/>
        <v>0</v>
      </c>
      <c r="CE38" s="265">
        <f t="shared" si="11"/>
        <v>12</v>
      </c>
    </row>
    <row r="39" ht="27" spans="1:83">
      <c r="A39" s="235" t="s">
        <v>289</v>
      </c>
      <c r="B39" s="225" t="s">
        <v>290</v>
      </c>
      <c r="C39" s="226"/>
      <c r="D39" s="227"/>
      <c r="E39" s="228">
        <v>4</v>
      </c>
      <c r="F39" s="228"/>
      <c r="G39" s="228"/>
      <c r="H39" s="228"/>
      <c r="I39" s="228">
        <v>3</v>
      </c>
      <c r="J39" s="228"/>
      <c r="K39" s="228"/>
      <c r="L39" s="228"/>
      <c r="M39" s="247">
        <f t="shared" si="0"/>
        <v>7</v>
      </c>
      <c r="N39" s="247"/>
      <c r="O39" s="247">
        <v>5</v>
      </c>
      <c r="P39" s="228"/>
      <c r="Q39" s="228">
        <v>5</v>
      </c>
      <c r="R39" s="228"/>
      <c r="S39" s="228">
        <v>5</v>
      </c>
      <c r="T39" s="228">
        <v>5</v>
      </c>
      <c r="U39" s="228"/>
      <c r="V39" s="228"/>
      <c r="W39" s="228"/>
      <c r="X39" s="247">
        <f t="shared" si="1"/>
        <v>20</v>
      </c>
      <c r="Y39" s="247"/>
      <c r="Z39" s="247"/>
      <c r="AA39" s="228"/>
      <c r="AB39" s="228"/>
      <c r="AC39" s="247">
        <f t="shared" si="2"/>
        <v>0</v>
      </c>
      <c r="AD39" s="247">
        <f t="shared" si="13"/>
        <v>27</v>
      </c>
      <c r="AE39" s="247"/>
      <c r="AF39" s="228"/>
      <c r="AG39" s="228"/>
      <c r="AH39" s="228"/>
      <c r="AI39" s="228"/>
      <c r="AJ39" s="228"/>
      <c r="AK39" s="228"/>
      <c r="AL39" s="228"/>
      <c r="AM39" s="258">
        <f t="shared" si="4"/>
        <v>0</v>
      </c>
      <c r="AN39" s="259"/>
      <c r="AO39" s="247"/>
      <c r="AP39" s="228"/>
      <c r="AQ39" s="228"/>
      <c r="AR39" s="228"/>
      <c r="AS39" s="228"/>
      <c r="AT39" s="228"/>
      <c r="AU39" s="228"/>
      <c r="AV39" s="228"/>
      <c r="AW39" s="228"/>
      <c r="AX39" s="247">
        <f t="shared" si="5"/>
        <v>0</v>
      </c>
      <c r="AY39" s="247"/>
      <c r="AZ39" s="247"/>
      <c r="BA39" s="228"/>
      <c r="BB39" s="228">
        <v>1</v>
      </c>
      <c r="BC39" s="247">
        <f t="shared" si="6"/>
        <v>1</v>
      </c>
      <c r="BD39" s="247">
        <f t="shared" si="7"/>
        <v>1</v>
      </c>
      <c r="BE39" s="247"/>
      <c r="BF39" s="247"/>
      <c r="BG39" s="247"/>
      <c r="BH39" s="247"/>
      <c r="BI39" s="228"/>
      <c r="BJ39" s="228"/>
      <c r="BK39" s="228"/>
      <c r="BL39" s="228"/>
      <c r="BM39" s="247">
        <f t="shared" si="8"/>
        <v>0</v>
      </c>
      <c r="BN39" s="247"/>
      <c r="BO39" s="247"/>
      <c r="BP39" s="247"/>
      <c r="BQ39" s="247"/>
      <c r="BR39" s="247"/>
      <c r="BS39" s="228"/>
      <c r="BT39" s="228"/>
      <c r="BU39" s="228"/>
      <c r="BV39" s="228">
        <v>1</v>
      </c>
      <c r="BW39" s="228"/>
      <c r="BX39" s="262">
        <f t="shared" si="12"/>
        <v>1</v>
      </c>
      <c r="BY39" s="247"/>
      <c r="BZ39" s="247"/>
      <c r="CA39" s="228"/>
      <c r="CB39" s="228"/>
      <c r="CC39" s="247">
        <f t="shared" si="9"/>
        <v>0</v>
      </c>
      <c r="CD39" s="262">
        <f t="shared" si="10"/>
        <v>1</v>
      </c>
      <c r="CE39" s="265">
        <f t="shared" si="11"/>
        <v>29</v>
      </c>
    </row>
    <row r="40" ht="22.15" customHeight="1" spans="1:83">
      <c r="A40" s="224" t="s">
        <v>92</v>
      </c>
      <c r="B40" s="236" t="s">
        <v>93</v>
      </c>
      <c r="C40" s="226"/>
      <c r="D40" s="227"/>
      <c r="E40" s="228"/>
      <c r="F40" s="228"/>
      <c r="G40" s="228"/>
      <c r="H40" s="228"/>
      <c r="I40" s="228"/>
      <c r="J40" s="228"/>
      <c r="K40" s="228"/>
      <c r="L40" s="228"/>
      <c r="M40" s="247">
        <f t="shared" si="0"/>
        <v>0</v>
      </c>
      <c r="N40" s="247"/>
      <c r="O40" s="247"/>
      <c r="P40" s="247"/>
      <c r="Q40" s="228"/>
      <c r="R40" s="247">
        <v>3</v>
      </c>
      <c r="S40" s="228"/>
      <c r="T40" s="228"/>
      <c r="U40" s="247">
        <v>3</v>
      </c>
      <c r="V40" s="228"/>
      <c r="W40" s="228">
        <v>4</v>
      </c>
      <c r="X40" s="247">
        <f t="shared" si="1"/>
        <v>10</v>
      </c>
      <c r="Y40" s="247"/>
      <c r="Z40" s="247"/>
      <c r="AA40" s="228"/>
      <c r="AB40" s="228"/>
      <c r="AC40" s="247">
        <f t="shared" si="2"/>
        <v>0</v>
      </c>
      <c r="AD40" s="247">
        <f t="shared" si="13"/>
        <v>10</v>
      </c>
      <c r="AE40" s="247"/>
      <c r="AF40" s="228"/>
      <c r="AG40" s="228"/>
      <c r="AH40" s="228"/>
      <c r="AI40" s="228"/>
      <c r="AJ40" s="228"/>
      <c r="AK40" s="228"/>
      <c r="AL40" s="228"/>
      <c r="AM40" s="258">
        <f t="shared" si="4"/>
        <v>0</v>
      </c>
      <c r="AN40" s="259"/>
      <c r="AO40" s="247"/>
      <c r="AP40" s="228"/>
      <c r="AQ40" s="228"/>
      <c r="AR40" s="261"/>
      <c r="AS40" s="228"/>
      <c r="AT40" s="228"/>
      <c r="AU40" s="228"/>
      <c r="AV40" s="228"/>
      <c r="AW40" s="228">
        <v>1</v>
      </c>
      <c r="AX40" s="247">
        <f t="shared" si="5"/>
        <v>1</v>
      </c>
      <c r="AY40" s="247"/>
      <c r="AZ40" s="247"/>
      <c r="BA40" s="228"/>
      <c r="BB40" s="228"/>
      <c r="BC40" s="247">
        <f t="shared" si="6"/>
        <v>0</v>
      </c>
      <c r="BD40" s="247">
        <f t="shared" si="7"/>
        <v>1</v>
      </c>
      <c r="BE40" s="247"/>
      <c r="BF40" s="247"/>
      <c r="BG40" s="247"/>
      <c r="BH40" s="247"/>
      <c r="BI40" s="228"/>
      <c r="BJ40" s="228"/>
      <c r="BK40" s="228"/>
      <c r="BL40" s="228"/>
      <c r="BM40" s="247">
        <f t="shared" si="8"/>
        <v>0</v>
      </c>
      <c r="BN40" s="247"/>
      <c r="BO40" s="247"/>
      <c r="BP40" s="247"/>
      <c r="BQ40" s="247"/>
      <c r="BR40" s="247"/>
      <c r="BS40" s="228"/>
      <c r="BT40" s="228"/>
      <c r="BU40" s="228"/>
      <c r="BV40" s="228"/>
      <c r="BW40" s="228"/>
      <c r="BX40" s="262">
        <f t="shared" si="12"/>
        <v>0</v>
      </c>
      <c r="BY40" s="247"/>
      <c r="BZ40" s="247"/>
      <c r="CA40" s="228"/>
      <c r="CB40" s="228"/>
      <c r="CC40" s="247">
        <f t="shared" si="9"/>
        <v>0</v>
      </c>
      <c r="CD40" s="262">
        <f t="shared" si="10"/>
        <v>0</v>
      </c>
      <c r="CE40" s="265">
        <f t="shared" si="11"/>
        <v>11</v>
      </c>
    </row>
    <row r="41" ht="27" spans="1:83">
      <c r="A41" s="235" t="s">
        <v>291</v>
      </c>
      <c r="B41" s="225" t="s">
        <v>292</v>
      </c>
      <c r="C41" s="226"/>
      <c r="D41" s="227"/>
      <c r="E41" s="228"/>
      <c r="F41" s="228"/>
      <c r="G41" s="228"/>
      <c r="H41" s="228"/>
      <c r="I41" s="228"/>
      <c r="J41" s="228"/>
      <c r="K41" s="228"/>
      <c r="L41" s="228"/>
      <c r="M41" s="247">
        <f t="shared" si="0"/>
        <v>0</v>
      </c>
      <c r="N41" s="247">
        <v>3</v>
      </c>
      <c r="O41" s="247"/>
      <c r="P41" s="247">
        <v>3</v>
      </c>
      <c r="Q41" s="228"/>
      <c r="R41" s="247"/>
      <c r="S41" s="228"/>
      <c r="T41" s="228"/>
      <c r="U41" s="247"/>
      <c r="V41" s="228"/>
      <c r="W41" s="228"/>
      <c r="X41" s="247">
        <f t="shared" si="1"/>
        <v>6</v>
      </c>
      <c r="Y41" s="247"/>
      <c r="Z41" s="247">
        <v>2</v>
      </c>
      <c r="AA41" s="228">
        <v>2</v>
      </c>
      <c r="AB41" s="228"/>
      <c r="AC41" s="247">
        <f t="shared" si="2"/>
        <v>4</v>
      </c>
      <c r="AD41" s="247">
        <f t="shared" si="13"/>
        <v>10</v>
      </c>
      <c r="AE41" s="247"/>
      <c r="AF41" s="228"/>
      <c r="AG41" s="228"/>
      <c r="AH41" s="228"/>
      <c r="AI41" s="228"/>
      <c r="AJ41" s="228"/>
      <c r="AK41" s="228"/>
      <c r="AL41" s="228"/>
      <c r="AM41" s="258">
        <f t="shared" si="4"/>
        <v>0</v>
      </c>
      <c r="AN41" s="259">
        <v>1</v>
      </c>
      <c r="AO41" s="247"/>
      <c r="AP41" s="228"/>
      <c r="AQ41" s="228"/>
      <c r="AR41" s="261"/>
      <c r="AS41" s="228"/>
      <c r="AT41" s="228"/>
      <c r="AU41" s="228"/>
      <c r="AV41" s="228"/>
      <c r="AW41" s="228"/>
      <c r="AX41" s="247">
        <f t="shared" si="5"/>
        <v>1</v>
      </c>
      <c r="AY41" s="247"/>
      <c r="AZ41" s="247"/>
      <c r="BA41" s="228"/>
      <c r="BB41" s="228"/>
      <c r="BC41" s="247">
        <f t="shared" si="6"/>
        <v>0</v>
      </c>
      <c r="BD41" s="247">
        <f t="shared" si="7"/>
        <v>1</v>
      </c>
      <c r="BE41" s="247"/>
      <c r="BF41" s="247"/>
      <c r="BG41" s="247"/>
      <c r="BH41" s="247"/>
      <c r="BI41" s="228"/>
      <c r="BJ41" s="228"/>
      <c r="BK41" s="228"/>
      <c r="BL41" s="228"/>
      <c r="BM41" s="247">
        <f t="shared" si="8"/>
        <v>0</v>
      </c>
      <c r="BN41" s="247"/>
      <c r="BO41" s="247"/>
      <c r="BP41" s="247"/>
      <c r="BQ41" s="247"/>
      <c r="BR41" s="247"/>
      <c r="BS41" s="228"/>
      <c r="BT41" s="228"/>
      <c r="BU41" s="228"/>
      <c r="BV41" s="228"/>
      <c r="BW41" s="228"/>
      <c r="BX41" s="262">
        <f t="shared" si="12"/>
        <v>0</v>
      </c>
      <c r="BY41" s="247"/>
      <c r="BZ41" s="247"/>
      <c r="CA41" s="228"/>
      <c r="CB41" s="228"/>
      <c r="CC41" s="247">
        <f t="shared" si="9"/>
        <v>0</v>
      </c>
      <c r="CD41" s="262">
        <f t="shared" si="10"/>
        <v>0</v>
      </c>
      <c r="CE41" s="265">
        <f t="shared" si="11"/>
        <v>11</v>
      </c>
    </row>
    <row r="42" ht="27" spans="1:83">
      <c r="A42" s="224" t="s">
        <v>140</v>
      </c>
      <c r="B42" s="225" t="s">
        <v>293</v>
      </c>
      <c r="C42" s="226"/>
      <c r="D42" s="227">
        <v>22</v>
      </c>
      <c r="E42" s="228"/>
      <c r="F42" s="228"/>
      <c r="G42" s="228"/>
      <c r="H42" s="228"/>
      <c r="I42" s="228"/>
      <c r="J42" s="228"/>
      <c r="K42" s="228"/>
      <c r="L42" s="228"/>
      <c r="M42" s="247">
        <f t="shared" si="0"/>
        <v>0</v>
      </c>
      <c r="N42" s="247"/>
      <c r="O42" s="247"/>
      <c r="P42" s="228"/>
      <c r="Q42" s="228"/>
      <c r="R42" s="228"/>
      <c r="S42" s="228"/>
      <c r="T42" s="228"/>
      <c r="U42" s="228"/>
      <c r="V42" s="228"/>
      <c r="W42" s="228"/>
      <c r="X42" s="247">
        <f t="shared" si="1"/>
        <v>0</v>
      </c>
      <c r="Y42" s="247"/>
      <c r="Z42" s="247"/>
      <c r="AA42" s="228"/>
      <c r="AB42" s="228"/>
      <c r="AC42" s="247">
        <f t="shared" si="2"/>
        <v>0</v>
      </c>
      <c r="AD42" s="247">
        <f t="shared" si="13"/>
        <v>0</v>
      </c>
      <c r="AE42" s="247"/>
      <c r="AF42" s="228"/>
      <c r="AG42" s="228"/>
      <c r="AH42" s="228"/>
      <c r="AI42" s="228"/>
      <c r="AJ42" s="228"/>
      <c r="AK42" s="228"/>
      <c r="AL42" s="228"/>
      <c r="AM42" s="258">
        <f t="shared" si="4"/>
        <v>0</v>
      </c>
      <c r="AN42" s="259"/>
      <c r="AO42" s="247"/>
      <c r="AP42" s="228"/>
      <c r="AQ42" s="228"/>
      <c r="AR42" s="228"/>
      <c r="AS42" s="228"/>
      <c r="AT42" s="228"/>
      <c r="AU42" s="228"/>
      <c r="AV42" s="228"/>
      <c r="AW42" s="228"/>
      <c r="AX42" s="247">
        <f t="shared" si="5"/>
        <v>0</v>
      </c>
      <c r="AY42" s="247"/>
      <c r="AZ42" s="247"/>
      <c r="BA42" s="228"/>
      <c r="BB42" s="228"/>
      <c r="BC42" s="247">
        <f t="shared" si="6"/>
        <v>0</v>
      </c>
      <c r="BD42" s="247">
        <f t="shared" si="7"/>
        <v>0</v>
      </c>
      <c r="BE42" s="247"/>
      <c r="BF42" s="247"/>
      <c r="BG42" s="247"/>
      <c r="BH42" s="247"/>
      <c r="BI42" s="228"/>
      <c r="BJ42" s="228"/>
      <c r="BK42" s="228"/>
      <c r="BL42" s="228"/>
      <c r="BM42" s="247">
        <f t="shared" si="8"/>
        <v>0</v>
      </c>
      <c r="BN42" s="247"/>
      <c r="BO42" s="247"/>
      <c r="BP42" s="247"/>
      <c r="BQ42" s="247"/>
      <c r="BR42" s="247"/>
      <c r="BS42" s="228"/>
      <c r="BT42" s="228"/>
      <c r="BU42" s="228"/>
      <c r="BV42" s="228"/>
      <c r="BW42" s="228"/>
      <c r="BX42" s="262">
        <f t="shared" si="12"/>
        <v>0</v>
      </c>
      <c r="BY42" s="247"/>
      <c r="BZ42" s="247"/>
      <c r="CA42" s="228"/>
      <c r="CB42" s="228"/>
      <c r="CC42" s="247">
        <f t="shared" si="9"/>
        <v>0</v>
      </c>
      <c r="CD42" s="262">
        <f t="shared" si="10"/>
        <v>0</v>
      </c>
      <c r="CE42" s="265">
        <f t="shared" si="11"/>
        <v>0</v>
      </c>
    </row>
    <row r="43" ht="27" spans="1:83">
      <c r="A43" s="224" t="s">
        <v>133</v>
      </c>
      <c r="B43" s="225" t="s">
        <v>293</v>
      </c>
      <c r="C43" s="226"/>
      <c r="D43" s="227">
        <v>22</v>
      </c>
      <c r="E43" s="228"/>
      <c r="F43" s="228"/>
      <c r="G43" s="228"/>
      <c r="H43" s="228"/>
      <c r="I43" s="228"/>
      <c r="J43" s="228"/>
      <c r="K43" s="228"/>
      <c r="L43" s="228"/>
      <c r="M43" s="247">
        <f t="shared" si="0"/>
        <v>0</v>
      </c>
      <c r="N43" s="247"/>
      <c r="O43" s="247"/>
      <c r="P43" s="228"/>
      <c r="Q43" s="228"/>
      <c r="R43" s="228"/>
      <c r="S43" s="228"/>
      <c r="T43" s="228"/>
      <c r="U43" s="228"/>
      <c r="V43" s="228"/>
      <c r="W43" s="228"/>
      <c r="X43" s="247">
        <f t="shared" si="1"/>
        <v>0</v>
      </c>
      <c r="Y43" s="247"/>
      <c r="Z43" s="247"/>
      <c r="AA43" s="228"/>
      <c r="AB43" s="228"/>
      <c r="AC43" s="247">
        <f t="shared" si="2"/>
        <v>0</v>
      </c>
      <c r="AD43" s="247">
        <f t="shared" si="13"/>
        <v>0</v>
      </c>
      <c r="AE43" s="247"/>
      <c r="AF43" s="228"/>
      <c r="AG43" s="228"/>
      <c r="AH43" s="228"/>
      <c r="AI43" s="228"/>
      <c r="AJ43" s="228"/>
      <c r="AK43" s="228"/>
      <c r="AL43" s="228"/>
      <c r="AM43" s="258">
        <f t="shared" si="4"/>
        <v>0</v>
      </c>
      <c r="AN43" s="259"/>
      <c r="AO43" s="247"/>
      <c r="AP43" s="228"/>
      <c r="AQ43" s="228"/>
      <c r="AR43" s="228"/>
      <c r="AS43" s="228"/>
      <c r="AT43" s="228"/>
      <c r="AU43" s="228"/>
      <c r="AV43" s="228"/>
      <c r="AW43" s="228"/>
      <c r="AX43" s="247">
        <f t="shared" si="5"/>
        <v>0</v>
      </c>
      <c r="AY43" s="247"/>
      <c r="AZ43" s="247"/>
      <c r="BA43" s="228"/>
      <c r="BB43" s="228"/>
      <c r="BC43" s="247">
        <f t="shared" si="6"/>
        <v>0</v>
      </c>
      <c r="BD43" s="247">
        <f t="shared" si="7"/>
        <v>0</v>
      </c>
      <c r="BE43" s="247"/>
      <c r="BF43" s="247"/>
      <c r="BG43" s="247"/>
      <c r="BH43" s="247"/>
      <c r="BI43" s="228"/>
      <c r="BJ43" s="228"/>
      <c r="BK43" s="228"/>
      <c r="BL43" s="228"/>
      <c r="BM43" s="247">
        <f t="shared" si="8"/>
        <v>0</v>
      </c>
      <c r="BN43" s="247"/>
      <c r="BO43" s="247"/>
      <c r="BP43" s="247"/>
      <c r="BQ43" s="247"/>
      <c r="BR43" s="247"/>
      <c r="BS43" s="228"/>
      <c r="BT43" s="228"/>
      <c r="BU43" s="228"/>
      <c r="BV43" s="228"/>
      <c r="BW43" s="228"/>
      <c r="BX43" s="262">
        <f t="shared" si="12"/>
        <v>0</v>
      </c>
      <c r="BY43" s="247"/>
      <c r="BZ43" s="247"/>
      <c r="CA43" s="228"/>
      <c r="CB43" s="228"/>
      <c r="CC43" s="247">
        <f t="shared" si="9"/>
        <v>0</v>
      </c>
      <c r="CD43" s="262">
        <f t="shared" si="10"/>
        <v>0</v>
      </c>
      <c r="CE43" s="265">
        <f t="shared" si="11"/>
        <v>0</v>
      </c>
    </row>
    <row r="44" ht="26.25" spans="1:83">
      <c r="A44" s="224" t="s">
        <v>294</v>
      </c>
      <c r="B44" s="225" t="s">
        <v>295</v>
      </c>
      <c r="C44" s="226"/>
      <c r="D44" s="227"/>
      <c r="E44" s="228"/>
      <c r="F44" s="228"/>
      <c r="G44" s="228"/>
      <c r="H44" s="228"/>
      <c r="I44" s="228"/>
      <c r="J44" s="228"/>
      <c r="K44" s="228"/>
      <c r="L44" s="228"/>
      <c r="M44" s="247">
        <f t="shared" si="0"/>
        <v>0</v>
      </c>
      <c r="N44" s="247"/>
      <c r="O44" s="247"/>
      <c r="P44" s="228"/>
      <c r="Q44" s="228"/>
      <c r="R44" s="228"/>
      <c r="S44" s="228"/>
      <c r="T44" s="228"/>
      <c r="U44" s="228"/>
      <c r="V44" s="228"/>
      <c r="W44" s="228"/>
      <c r="X44" s="247">
        <f t="shared" si="1"/>
        <v>0</v>
      </c>
      <c r="Y44" s="247"/>
      <c r="Z44" s="247"/>
      <c r="AA44" s="228"/>
      <c r="AB44" s="228"/>
      <c r="AC44" s="247">
        <f t="shared" si="2"/>
        <v>0</v>
      </c>
      <c r="AD44" s="247">
        <f t="shared" si="13"/>
        <v>0</v>
      </c>
      <c r="AE44" s="247"/>
      <c r="AF44" s="228"/>
      <c r="AG44" s="228"/>
      <c r="AH44" s="228"/>
      <c r="AI44" s="228"/>
      <c r="AJ44" s="228"/>
      <c r="AK44" s="228"/>
      <c r="AL44" s="228"/>
      <c r="AM44" s="258">
        <f t="shared" si="4"/>
        <v>0</v>
      </c>
      <c r="AN44" s="259"/>
      <c r="AO44" s="247"/>
      <c r="AP44" s="228"/>
      <c r="AQ44" s="228"/>
      <c r="AR44" s="228"/>
      <c r="AS44" s="228"/>
      <c r="AT44" s="228"/>
      <c r="AU44" s="228"/>
      <c r="AV44" s="228"/>
      <c r="AW44" s="228"/>
      <c r="AX44" s="247">
        <f t="shared" si="5"/>
        <v>0</v>
      </c>
      <c r="AY44" s="247"/>
      <c r="AZ44" s="247"/>
      <c r="BA44" s="228"/>
      <c r="BB44" s="228"/>
      <c r="BC44" s="247">
        <f t="shared" si="6"/>
        <v>0</v>
      </c>
      <c r="BD44" s="247">
        <f t="shared" si="7"/>
        <v>0</v>
      </c>
      <c r="BE44" s="247"/>
      <c r="BF44" s="247"/>
      <c r="BG44" s="247"/>
      <c r="BH44" s="247"/>
      <c r="BI44" s="228"/>
      <c r="BJ44" s="228"/>
      <c r="BK44" s="228"/>
      <c r="BL44" s="228"/>
      <c r="BM44" s="247">
        <f t="shared" si="8"/>
        <v>0</v>
      </c>
      <c r="BN44" s="247"/>
      <c r="BO44" s="247"/>
      <c r="BP44" s="247"/>
      <c r="BQ44" s="247"/>
      <c r="BR44" s="247"/>
      <c r="BS44" s="228"/>
      <c r="BT44" s="228"/>
      <c r="BU44" s="228"/>
      <c r="BV44" s="228"/>
      <c r="BW44" s="228"/>
      <c r="BX44" s="262">
        <f t="shared" si="12"/>
        <v>0</v>
      </c>
      <c r="BY44" s="247"/>
      <c r="BZ44" s="247"/>
      <c r="CA44" s="228"/>
      <c r="CB44" s="228"/>
      <c r="CC44" s="247">
        <f t="shared" si="9"/>
        <v>0</v>
      </c>
      <c r="CD44" s="262">
        <f t="shared" si="10"/>
        <v>0</v>
      </c>
      <c r="CE44" s="265">
        <f t="shared" si="11"/>
        <v>0</v>
      </c>
    </row>
    <row r="45" ht="27" spans="1:83">
      <c r="A45" s="237" t="s">
        <v>296</v>
      </c>
      <c r="B45" s="238"/>
      <c r="C45" s="239"/>
      <c r="D45" s="240">
        <f t="shared" ref="D45:AI45" si="14">SUM(D4:D44)</f>
        <v>48</v>
      </c>
      <c r="E45" s="241">
        <f t="shared" si="14"/>
        <v>29</v>
      </c>
      <c r="F45" s="241">
        <f t="shared" si="14"/>
        <v>22</v>
      </c>
      <c r="G45" s="241">
        <f t="shared" si="14"/>
        <v>24</v>
      </c>
      <c r="H45" s="241">
        <f t="shared" si="14"/>
        <v>23</v>
      </c>
      <c r="I45" s="241">
        <f t="shared" si="14"/>
        <v>27</v>
      </c>
      <c r="J45" s="241">
        <f t="shared" si="14"/>
        <v>26</v>
      </c>
      <c r="K45" s="241">
        <f t="shared" si="14"/>
        <v>28</v>
      </c>
      <c r="L45" s="241">
        <f t="shared" si="14"/>
        <v>26</v>
      </c>
      <c r="M45" s="241">
        <f t="shared" si="14"/>
        <v>205</v>
      </c>
      <c r="N45" s="241">
        <f t="shared" si="14"/>
        <v>29</v>
      </c>
      <c r="O45" s="240">
        <f t="shared" si="14"/>
        <v>31</v>
      </c>
      <c r="P45" s="240">
        <f t="shared" si="14"/>
        <v>29</v>
      </c>
      <c r="Q45" s="240">
        <f t="shared" si="14"/>
        <v>31</v>
      </c>
      <c r="R45" s="241">
        <f t="shared" si="14"/>
        <v>32</v>
      </c>
      <c r="S45" s="240">
        <f t="shared" si="14"/>
        <v>34</v>
      </c>
      <c r="T45" s="240">
        <f t="shared" si="14"/>
        <v>35</v>
      </c>
      <c r="U45" s="241">
        <f t="shared" si="14"/>
        <v>33</v>
      </c>
      <c r="V45" s="241">
        <f t="shared" si="14"/>
        <v>36</v>
      </c>
      <c r="W45" s="240">
        <f t="shared" si="14"/>
        <v>34</v>
      </c>
      <c r="X45" s="241">
        <f t="shared" si="14"/>
        <v>324</v>
      </c>
      <c r="Y45" s="240">
        <f t="shared" si="14"/>
        <v>0</v>
      </c>
      <c r="Z45" s="240">
        <f t="shared" si="14"/>
        <v>16</v>
      </c>
      <c r="AA45" s="240">
        <f t="shared" si="14"/>
        <v>16</v>
      </c>
      <c r="AB45" s="240">
        <f t="shared" si="14"/>
        <v>35</v>
      </c>
      <c r="AC45" s="240">
        <f t="shared" si="14"/>
        <v>67</v>
      </c>
      <c r="AD45" s="241">
        <f t="shared" si="14"/>
        <v>596</v>
      </c>
      <c r="AE45" s="240">
        <f t="shared" si="14"/>
        <v>0</v>
      </c>
      <c r="AF45" s="240">
        <f t="shared" si="14"/>
        <v>0</v>
      </c>
      <c r="AG45" s="240">
        <f t="shared" si="14"/>
        <v>0</v>
      </c>
      <c r="AH45" s="240">
        <f t="shared" si="14"/>
        <v>1</v>
      </c>
      <c r="AI45" s="240">
        <f t="shared" si="14"/>
        <v>0</v>
      </c>
      <c r="AJ45" s="240">
        <f t="shared" ref="AJ45:BO45" si="15">SUM(AJ4:AJ44)</f>
        <v>1</v>
      </c>
      <c r="AK45" s="240">
        <f t="shared" si="15"/>
        <v>0</v>
      </c>
      <c r="AL45" s="240">
        <f t="shared" si="15"/>
        <v>1</v>
      </c>
      <c r="AM45" s="240">
        <f t="shared" si="15"/>
        <v>3</v>
      </c>
      <c r="AN45" s="241">
        <f t="shared" si="15"/>
        <v>2</v>
      </c>
      <c r="AO45" s="240">
        <f t="shared" si="15"/>
        <v>0</v>
      </c>
      <c r="AP45" s="240">
        <f t="shared" si="15"/>
        <v>1</v>
      </c>
      <c r="AQ45" s="240">
        <f t="shared" si="15"/>
        <v>3</v>
      </c>
      <c r="AR45" s="240">
        <f t="shared" si="15"/>
        <v>1</v>
      </c>
      <c r="AS45" s="240">
        <f t="shared" si="15"/>
        <v>0</v>
      </c>
      <c r="AT45" s="240">
        <f t="shared" si="15"/>
        <v>1</v>
      </c>
      <c r="AU45" s="240">
        <f t="shared" si="15"/>
        <v>2</v>
      </c>
      <c r="AV45" s="240">
        <f t="shared" si="15"/>
        <v>1</v>
      </c>
      <c r="AW45" s="240">
        <f t="shared" si="15"/>
        <v>3</v>
      </c>
      <c r="AX45" s="241">
        <f t="shared" si="15"/>
        <v>14</v>
      </c>
      <c r="AY45" s="240">
        <f t="shared" si="15"/>
        <v>0</v>
      </c>
      <c r="AZ45" s="240">
        <f t="shared" si="15"/>
        <v>3</v>
      </c>
      <c r="BA45" s="240">
        <f t="shared" si="15"/>
        <v>3</v>
      </c>
      <c r="BB45" s="240">
        <f t="shared" si="15"/>
        <v>3</v>
      </c>
      <c r="BC45" s="241">
        <f t="shared" si="15"/>
        <v>9</v>
      </c>
      <c r="BD45" s="241">
        <f t="shared" si="15"/>
        <v>26</v>
      </c>
      <c r="BE45" s="240">
        <f t="shared" si="15"/>
        <v>2</v>
      </c>
      <c r="BF45" s="240">
        <f t="shared" si="15"/>
        <v>2</v>
      </c>
      <c r="BG45" s="240">
        <f t="shared" si="15"/>
        <v>1</v>
      </c>
      <c r="BH45" s="240">
        <f t="shared" si="15"/>
        <v>1</v>
      </c>
      <c r="BI45" s="240">
        <f t="shared" si="15"/>
        <v>2</v>
      </c>
      <c r="BJ45" s="240">
        <f t="shared" si="15"/>
        <v>2</v>
      </c>
      <c r="BK45" s="240">
        <f t="shared" si="15"/>
        <v>1</v>
      </c>
      <c r="BL45" s="240">
        <f t="shared" si="15"/>
        <v>2</v>
      </c>
      <c r="BM45" s="240">
        <f t="shared" si="15"/>
        <v>13</v>
      </c>
      <c r="BN45" s="241">
        <f t="shared" si="15"/>
        <v>1</v>
      </c>
      <c r="BO45" s="240">
        <f t="shared" si="15"/>
        <v>1</v>
      </c>
      <c r="BP45" s="240">
        <f t="shared" ref="BP45:CE45" si="16">SUM(BP4:BP44)</f>
        <v>1</v>
      </c>
      <c r="BQ45" s="240">
        <f t="shared" si="16"/>
        <v>1</v>
      </c>
      <c r="BR45" s="240">
        <f t="shared" si="16"/>
        <v>1</v>
      </c>
      <c r="BS45" s="240">
        <f t="shared" si="16"/>
        <v>0</v>
      </c>
      <c r="BT45" s="240">
        <f t="shared" si="16"/>
        <v>0</v>
      </c>
      <c r="BU45" s="241">
        <f t="shared" si="16"/>
        <v>1</v>
      </c>
      <c r="BV45" s="240">
        <f t="shared" si="16"/>
        <v>1</v>
      </c>
      <c r="BW45" s="240">
        <f t="shared" si="16"/>
        <v>1</v>
      </c>
      <c r="BX45" s="241">
        <f t="shared" si="16"/>
        <v>8</v>
      </c>
      <c r="BY45" s="240">
        <f t="shared" si="16"/>
        <v>0</v>
      </c>
      <c r="BZ45" s="240">
        <f t="shared" si="16"/>
        <v>0</v>
      </c>
      <c r="CA45" s="240">
        <f t="shared" si="16"/>
        <v>0</v>
      </c>
      <c r="CB45" s="240">
        <f t="shared" si="16"/>
        <v>0</v>
      </c>
      <c r="CC45" s="240">
        <f ca="1" t="shared" si="16"/>
        <v>0</v>
      </c>
      <c r="CD45" s="262">
        <f t="shared" si="16"/>
        <v>21</v>
      </c>
      <c r="CE45" s="247">
        <f t="shared" si="16"/>
        <v>643</v>
      </c>
    </row>
    <row r="46" ht="26.25" spans="1:83">
      <c r="A46" s="242" t="s">
        <v>297</v>
      </c>
      <c r="B46" s="242"/>
      <c r="C46" s="243" t="s">
        <v>298</v>
      </c>
      <c r="D46" s="243"/>
      <c r="E46" s="243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3"/>
      <c r="AD46" s="243"/>
      <c r="AE46" s="243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63"/>
    </row>
    <row r="47" ht="26.25" spans="1:83">
      <c r="A47" s="242"/>
      <c r="B47" s="242"/>
      <c r="C47" s="243"/>
      <c r="D47" s="243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3"/>
      <c r="AD47" s="243" t="s">
        <v>299</v>
      </c>
      <c r="AE47" s="243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63"/>
    </row>
    <row r="48" ht="26.25" spans="1:83">
      <c r="A48" s="245" t="s">
        <v>300</v>
      </c>
      <c r="B48" s="245"/>
      <c r="C48" s="243" t="s">
        <v>150</v>
      </c>
      <c r="D48" s="243"/>
      <c r="E48" s="243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3"/>
      <c r="AD48" s="243"/>
      <c r="AE48" s="243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63"/>
    </row>
  </sheetData>
  <mergeCells count="7">
    <mergeCell ref="E2:W2"/>
    <mergeCell ref="BI2:BW2"/>
    <mergeCell ref="A2:A3"/>
    <mergeCell ref="A37:A38"/>
    <mergeCell ref="B2:B3"/>
    <mergeCell ref="C2:C3"/>
    <mergeCell ref="D2:D3"/>
  </mergeCells>
  <pageMargins left="0.708661417322835" right="0.708661417322835" top="0.748031496062992" bottom="0.748031496062992" header="0.31496062992126" footer="0.31496062992126"/>
  <pageSetup paperSize="9" scale="37" fitToWidth="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8"/>
  <sheetViews>
    <sheetView zoomScale="74" zoomScaleNormal="74" topLeftCell="A16" workbookViewId="0">
      <pane xSplit="15" topLeftCell="AG1" activePane="topRight" state="frozen"/>
      <selection/>
      <selection pane="topRight" activeCell="K26" sqref="K26"/>
    </sheetView>
  </sheetViews>
  <sheetFormatPr defaultColWidth="9" defaultRowHeight="12.75"/>
  <cols>
    <col min="1" max="1" width="5.42857142857143" customWidth="1"/>
    <col min="2" max="2" width="28.7142857142857" customWidth="1"/>
    <col min="3" max="5" width="9.42857142857143" customWidth="1"/>
    <col min="6" max="6" width="14.8571428571429" customWidth="1"/>
    <col min="7" max="7" width="10.5714285714286" customWidth="1"/>
    <col min="8" max="8" width="9.42857142857143" customWidth="1"/>
    <col min="9" max="9" width="14.5714285714286" customWidth="1"/>
    <col min="10" max="10" width="10.7142857142857" customWidth="1"/>
    <col min="11" max="11" width="11.1428571428571" customWidth="1"/>
    <col min="12" max="12" width="10.2857142857143" customWidth="1"/>
    <col min="13" max="13" width="10.7142857142857" customWidth="1"/>
    <col min="14" max="14" width="9.57142857142857" customWidth="1"/>
    <col min="15" max="15" width="10" customWidth="1"/>
    <col min="16" max="16" width="9.42857142857143" customWidth="1"/>
    <col min="17" max="17" width="11.8571428571429" customWidth="1"/>
    <col min="18" max="18" width="12.4285714285714" customWidth="1"/>
    <col min="19" max="19" width="13.7142857142857" customWidth="1"/>
    <col min="20" max="21" width="13.4285714285714" customWidth="1"/>
    <col min="22" max="22" width="7.28571428571429" hidden="1" customWidth="1"/>
    <col min="23" max="23" width="15.4285714285714" style="170" hidden="1" customWidth="1"/>
    <col min="24" max="24" width="15.7142857142857" customWidth="1"/>
    <col min="25" max="27" width="13.4285714285714" customWidth="1"/>
    <col min="28" max="28" width="18" customWidth="1"/>
    <col min="29" max="32" width="13.4285714285714" customWidth="1"/>
    <col min="33" max="33" width="14.7142857142857" customWidth="1"/>
    <col min="34" max="34" width="17.2857142857143" customWidth="1"/>
    <col min="35" max="35" width="16.8571428571429" customWidth="1"/>
    <col min="36" max="37" width="13.4285714285714" customWidth="1"/>
  </cols>
  <sheetData>
    <row r="1" ht="15.75" spans="1:37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9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77"/>
      <c r="AK1" s="77"/>
    </row>
    <row r="2" ht="15.75" spans="1:37">
      <c r="A2" s="1"/>
      <c r="B2" s="3" t="s">
        <v>301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9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77"/>
      <c r="AK2" s="77"/>
    </row>
    <row r="3" ht="15.75" customHeight="1" spans="1:37">
      <c r="A3" s="1"/>
      <c r="B3" s="2" t="s">
        <v>302</v>
      </c>
      <c r="C3" s="2"/>
      <c r="D3" s="2"/>
      <c r="E3" s="5"/>
      <c r="F3" s="5"/>
      <c r="G3" s="1"/>
      <c r="H3" s="1"/>
      <c r="I3" s="1"/>
      <c r="J3" s="1"/>
      <c r="K3" s="42" t="s">
        <v>303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9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77"/>
      <c r="AK3" s="77"/>
    </row>
    <row r="4" ht="15.75" spans="1:37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19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7"/>
      <c r="AK4" s="77"/>
    </row>
    <row r="5" ht="39.6" customHeight="1" spans="1:37">
      <c r="A5" s="171" t="s">
        <v>5</v>
      </c>
      <c r="B5" s="125" t="s">
        <v>6</v>
      </c>
      <c r="C5" s="125" t="s">
        <v>7</v>
      </c>
      <c r="D5" s="125" t="s">
        <v>8</v>
      </c>
      <c r="E5" s="125" t="s">
        <v>9</v>
      </c>
      <c r="F5" s="125"/>
      <c r="G5" s="125"/>
      <c r="H5" s="125"/>
      <c r="I5" s="125" t="s">
        <v>10</v>
      </c>
      <c r="J5" s="125"/>
      <c r="K5" s="125"/>
      <c r="L5" s="125"/>
      <c r="M5" s="125"/>
      <c r="N5" s="125"/>
      <c r="O5" s="125"/>
      <c r="P5" s="125" t="s">
        <v>11</v>
      </c>
      <c r="Q5" s="125"/>
      <c r="R5" s="125"/>
      <c r="S5" s="125"/>
      <c r="T5" s="125"/>
      <c r="U5" s="125"/>
      <c r="V5" s="197" t="s">
        <v>12</v>
      </c>
      <c r="W5" s="198"/>
      <c r="X5" s="199"/>
      <c r="Y5" s="199"/>
      <c r="Z5" s="199"/>
      <c r="AA5" s="199"/>
      <c r="AB5" s="199"/>
      <c r="AC5" s="199"/>
      <c r="AD5" s="199"/>
      <c r="AE5" s="199"/>
      <c r="AF5" s="199"/>
      <c r="AG5" s="208"/>
      <c r="AH5" s="125" t="s">
        <v>13</v>
      </c>
      <c r="AI5" s="125" t="s">
        <v>14</v>
      </c>
      <c r="AJ5" s="209" t="s">
        <v>15</v>
      </c>
      <c r="AK5" s="209"/>
    </row>
    <row r="6" ht="15.75" spans="1:37">
      <c r="A6" s="172"/>
      <c r="B6" s="125"/>
      <c r="C6" s="125"/>
      <c r="D6" s="125"/>
      <c r="E6" s="125" t="s">
        <v>16</v>
      </c>
      <c r="F6" s="125" t="s">
        <v>17</v>
      </c>
      <c r="G6" s="125" t="s">
        <v>18</v>
      </c>
      <c r="H6" s="125" t="s">
        <v>19</v>
      </c>
      <c r="I6" s="125" t="s">
        <v>20</v>
      </c>
      <c r="J6" s="125" t="s">
        <v>21</v>
      </c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200" t="s">
        <v>22</v>
      </c>
      <c r="W6" s="201"/>
      <c r="X6" s="202" t="s">
        <v>304</v>
      </c>
      <c r="Y6" s="200" t="s">
        <v>305</v>
      </c>
      <c r="Z6" s="201"/>
      <c r="AA6" s="200" t="s">
        <v>306</v>
      </c>
      <c r="AB6" s="201"/>
      <c r="AC6" s="200" t="s">
        <v>307</v>
      </c>
      <c r="AD6" s="201"/>
      <c r="AE6" s="200" t="s">
        <v>308</v>
      </c>
      <c r="AF6" s="201"/>
      <c r="AG6" s="125" t="s">
        <v>34</v>
      </c>
      <c r="AH6" s="125"/>
      <c r="AI6" s="125"/>
      <c r="AJ6" s="209"/>
      <c r="AK6" s="209"/>
    </row>
    <row r="7" ht="47.25" spans="1:37">
      <c r="A7" s="173"/>
      <c r="B7" s="125"/>
      <c r="C7" s="125"/>
      <c r="D7" s="125"/>
      <c r="E7" s="125"/>
      <c r="F7" s="125"/>
      <c r="G7" s="125"/>
      <c r="H7" s="125"/>
      <c r="I7" s="125"/>
      <c r="J7" s="125" t="s">
        <v>35</v>
      </c>
      <c r="K7" s="125" t="s">
        <v>36</v>
      </c>
      <c r="L7" s="188" t="s">
        <v>37</v>
      </c>
      <c r="M7" s="188" t="s">
        <v>38</v>
      </c>
      <c r="N7" s="188" t="s">
        <v>39</v>
      </c>
      <c r="O7" s="125" t="s">
        <v>40</v>
      </c>
      <c r="P7" s="125" t="s">
        <v>35</v>
      </c>
      <c r="Q7" s="125" t="s">
        <v>36</v>
      </c>
      <c r="R7" s="125" t="s">
        <v>37</v>
      </c>
      <c r="S7" s="125" t="s">
        <v>38</v>
      </c>
      <c r="T7" s="125" t="s">
        <v>39</v>
      </c>
      <c r="U7" s="125" t="s">
        <v>41</v>
      </c>
      <c r="V7" s="125" t="s">
        <v>42</v>
      </c>
      <c r="W7" s="203" t="s">
        <v>43</v>
      </c>
      <c r="X7" s="202"/>
      <c r="Y7" s="125" t="s">
        <v>54</v>
      </c>
      <c r="Z7" s="125" t="s">
        <v>43</v>
      </c>
      <c r="AA7" s="125" t="s">
        <v>54</v>
      </c>
      <c r="AB7" s="125" t="s">
        <v>43</v>
      </c>
      <c r="AC7" s="125" t="s">
        <v>54</v>
      </c>
      <c r="AD7" s="125" t="s">
        <v>43</v>
      </c>
      <c r="AE7" s="125" t="s">
        <v>54</v>
      </c>
      <c r="AF7" s="125" t="s">
        <v>43</v>
      </c>
      <c r="AG7" s="125"/>
      <c r="AH7" s="125"/>
      <c r="AI7" s="125"/>
      <c r="AJ7" s="210" t="s">
        <v>56</v>
      </c>
      <c r="AK7" s="210" t="s">
        <v>43</v>
      </c>
    </row>
    <row r="8" ht="15.75" spans="1:37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204">
        <v>23</v>
      </c>
      <c r="X8" s="79">
        <v>24</v>
      </c>
      <c r="Y8" s="79">
        <v>45</v>
      </c>
      <c r="Z8" s="79">
        <v>46</v>
      </c>
      <c r="AA8" s="79">
        <v>47</v>
      </c>
      <c r="AB8" s="79">
        <v>48</v>
      </c>
      <c r="AC8" s="79">
        <v>49</v>
      </c>
      <c r="AD8" s="79">
        <v>50</v>
      </c>
      <c r="AE8" s="79">
        <v>49</v>
      </c>
      <c r="AF8" s="79">
        <v>50</v>
      </c>
      <c r="AG8" s="79">
        <v>58</v>
      </c>
      <c r="AH8" s="79">
        <v>59</v>
      </c>
      <c r="AI8" s="79">
        <v>60</v>
      </c>
      <c r="AJ8" s="79">
        <v>61</v>
      </c>
      <c r="AK8" s="79">
        <v>62</v>
      </c>
    </row>
    <row r="9" ht="47.25" spans="1:37">
      <c r="A9" s="117">
        <v>1</v>
      </c>
      <c r="B9" s="79" t="s">
        <v>72</v>
      </c>
      <c r="C9" s="79" t="s">
        <v>285</v>
      </c>
      <c r="D9" s="174" t="s">
        <v>309</v>
      </c>
      <c r="E9" s="79" t="s">
        <v>60</v>
      </c>
      <c r="F9" s="125" t="s">
        <v>74</v>
      </c>
      <c r="G9" s="79">
        <v>19.4</v>
      </c>
      <c r="H9" s="125">
        <v>5.24</v>
      </c>
      <c r="I9" s="79">
        <v>1</v>
      </c>
      <c r="J9" s="81"/>
      <c r="K9" s="81"/>
      <c r="L9" s="81">
        <v>4</v>
      </c>
      <c r="M9" s="81">
        <v>2</v>
      </c>
      <c r="N9" s="81"/>
      <c r="O9" s="173">
        <f>SUM(J9:N9)</f>
        <v>6</v>
      </c>
      <c r="P9" s="110">
        <f>SUM(($H$4*H9)/24)*J9</f>
        <v>0</v>
      </c>
      <c r="Q9" s="121">
        <f>SUM(($H$4*H9)/24)*K9</f>
        <v>0</v>
      </c>
      <c r="R9" s="121">
        <f>($H$4*H9)/18*L9</f>
        <v>20607.1733333333</v>
      </c>
      <c r="S9" s="121">
        <f>($H$4*H9)*M9/18</f>
        <v>10303.5866666667</v>
      </c>
      <c r="T9" s="121">
        <f>($H$4*H9)/18*N9</f>
        <v>0</v>
      </c>
      <c r="U9" s="121">
        <f>SUM(P9:T9)</f>
        <v>30910.76</v>
      </c>
      <c r="V9" s="81"/>
      <c r="W9" s="121">
        <f>SUM(U9*V9)/100</f>
        <v>0</v>
      </c>
      <c r="X9" s="121">
        <f>SUM(U9,W9)</f>
        <v>30910.76</v>
      </c>
      <c r="Y9" s="81"/>
      <c r="Z9" s="81"/>
      <c r="AA9" s="81">
        <v>6</v>
      </c>
      <c r="AB9" s="110">
        <f>SUM($H$4*$H9*AA9/18)*0.4</f>
        <v>12364.304</v>
      </c>
      <c r="AC9" s="81"/>
      <c r="AD9" s="81"/>
      <c r="AE9" s="81"/>
      <c r="AF9" s="81"/>
      <c r="AG9" s="134">
        <f>SUM(Z9+AB9+AD9+AF9)</f>
        <v>12364.304</v>
      </c>
      <c r="AH9" s="121">
        <f>AG9</f>
        <v>12364.304</v>
      </c>
      <c r="AI9" s="121">
        <f>AH9*12</f>
        <v>148371.648</v>
      </c>
      <c r="AJ9" s="79"/>
      <c r="AK9" s="79"/>
    </row>
    <row r="10" ht="48.6" customHeight="1" spans="1:37">
      <c r="A10" s="140">
        <v>2</v>
      </c>
      <c r="B10" s="175" t="s">
        <v>64</v>
      </c>
      <c r="C10" s="176" t="s">
        <v>283</v>
      </c>
      <c r="D10" s="174" t="s">
        <v>309</v>
      </c>
      <c r="E10" s="141" t="s">
        <v>60</v>
      </c>
      <c r="F10" s="125" t="s">
        <v>74</v>
      </c>
      <c r="G10" s="86">
        <v>35.4</v>
      </c>
      <c r="H10" s="138">
        <v>5.41</v>
      </c>
      <c r="I10" s="127">
        <f>ROUND((((J10+K10))/24)+(L10+M10+N10)/18,2)</f>
        <v>1.64</v>
      </c>
      <c r="J10" s="189"/>
      <c r="K10" s="189"/>
      <c r="L10" s="190">
        <v>4</v>
      </c>
      <c r="M10" s="190">
        <v>22</v>
      </c>
      <c r="N10" s="190">
        <v>3.5</v>
      </c>
      <c r="O10" s="173">
        <f>SUM(J10:N10)</f>
        <v>29.5</v>
      </c>
      <c r="P10" s="110">
        <f>SUM(($H$4*H10)/24)*J10</f>
        <v>0</v>
      </c>
      <c r="Q10" s="121">
        <f>SUM(($H$4*H10)/24)*K10</f>
        <v>0</v>
      </c>
      <c r="R10" s="121">
        <f>($H$4*H10)/18*L10</f>
        <v>21275.7266666667</v>
      </c>
      <c r="S10" s="121">
        <f>($H$4*H10)*M10/18</f>
        <v>117016.496666667</v>
      </c>
      <c r="T10" s="121">
        <f>($H$4*H10)/18*N10</f>
        <v>18616.2608333333</v>
      </c>
      <c r="U10" s="121">
        <f>SUM(P10:T10)</f>
        <v>156908.484166667</v>
      </c>
      <c r="V10" s="122"/>
      <c r="W10" s="121">
        <f>SUM(U10*V10)/100</f>
        <v>0</v>
      </c>
      <c r="X10" s="121">
        <f>SUM(U10,W10)</f>
        <v>156908.484166667</v>
      </c>
      <c r="Y10" s="122"/>
      <c r="Z10" s="110">
        <f>SUM($H$4*$H10*Y10/18)*0.5</f>
        <v>0</v>
      </c>
      <c r="AA10" s="122">
        <v>27</v>
      </c>
      <c r="AB10" s="110">
        <f>SUM($H$4*$H10*AA10/18)*0.4</f>
        <v>57444.462</v>
      </c>
      <c r="AC10" s="128"/>
      <c r="AD10" s="110">
        <f>SUM($H$4*$H10*AC10/18)*0.35</f>
        <v>0</v>
      </c>
      <c r="AE10" s="128"/>
      <c r="AF10" s="110">
        <f>SUM($H$4*$H10*AE10/18)*0.3</f>
        <v>0</v>
      </c>
      <c r="AG10" s="134">
        <f>SUM(Z10+AB10+AD10+AF10)</f>
        <v>57444.462</v>
      </c>
      <c r="AH10" s="121">
        <f>AG10</f>
        <v>57444.462</v>
      </c>
      <c r="AI10" s="121">
        <f t="shared" ref="AI10:AI30" si="0">AH10*12</f>
        <v>689333.544</v>
      </c>
      <c r="AJ10" s="211"/>
      <c r="AK10" s="212">
        <f>SUM(($H$4*H10)+(($H$4*H10*V10)/100))*AJ10</f>
        <v>0</v>
      </c>
    </row>
    <row r="11" ht="21" customHeight="1" spans="1:37">
      <c r="A11" s="140"/>
      <c r="B11" s="88" t="s">
        <v>75</v>
      </c>
      <c r="C11" s="127"/>
      <c r="D11" s="127"/>
      <c r="E11" s="141"/>
      <c r="F11" s="142"/>
      <c r="G11" s="127"/>
      <c r="H11" s="95"/>
      <c r="I11" s="88">
        <f>SUM(I10)</f>
        <v>1.64</v>
      </c>
      <c r="J11" s="88">
        <f t="shared" ref="J11:AK11" si="1">SUM(J10)</f>
        <v>0</v>
      </c>
      <c r="K11" s="88">
        <f t="shared" si="1"/>
        <v>0</v>
      </c>
      <c r="L11" s="88">
        <f>SUM(L9:L10)</f>
        <v>8</v>
      </c>
      <c r="M11" s="88">
        <f>SUM(M9:M10)</f>
        <v>24</v>
      </c>
      <c r="N11" s="88">
        <f t="shared" si="1"/>
        <v>3.5</v>
      </c>
      <c r="O11" s="150">
        <f t="shared" ref="O11:O20" si="2">SUM(J11:N11)</f>
        <v>35.5</v>
      </c>
      <c r="P11" s="88">
        <f t="shared" si="1"/>
        <v>0</v>
      </c>
      <c r="Q11" s="88">
        <f t="shared" si="1"/>
        <v>0</v>
      </c>
      <c r="R11" s="88">
        <f t="shared" si="1"/>
        <v>21275.7266666667</v>
      </c>
      <c r="S11" s="168">
        <f>SUM(S9:S10)</f>
        <v>127320.083333333</v>
      </c>
      <c r="T11" s="88">
        <f t="shared" si="1"/>
        <v>18616.2608333333</v>
      </c>
      <c r="U11" s="88">
        <f>SUM(U8:U10)</f>
        <v>187840.244166667</v>
      </c>
      <c r="V11" s="88">
        <f t="shared" si="1"/>
        <v>0</v>
      </c>
      <c r="W11" s="168">
        <f>SUM(W9:W10)</f>
        <v>0</v>
      </c>
      <c r="X11" s="168">
        <f>SUM(X9:X10)</f>
        <v>187819.244166667</v>
      </c>
      <c r="Y11" s="88">
        <f t="shared" si="1"/>
        <v>0</v>
      </c>
      <c r="Z11" s="88">
        <f t="shared" si="1"/>
        <v>0</v>
      </c>
      <c r="AA11" s="88">
        <f>SUM(AA9:AA10)</f>
        <v>33</v>
      </c>
      <c r="AB11" s="88">
        <f>SUM(AB9:AB10)</f>
        <v>69808.766</v>
      </c>
      <c r="AC11" s="88">
        <f t="shared" si="1"/>
        <v>0</v>
      </c>
      <c r="AD11" s="88">
        <f t="shared" si="1"/>
        <v>0</v>
      </c>
      <c r="AE11" s="88">
        <f t="shared" si="1"/>
        <v>0</v>
      </c>
      <c r="AF11" s="88">
        <f t="shared" si="1"/>
        <v>0</v>
      </c>
      <c r="AG11" s="134">
        <f>SUM(Z11+AB11+AD11+AF11)</f>
        <v>69808.766</v>
      </c>
      <c r="AH11" s="88">
        <f t="shared" si="1"/>
        <v>57444.462</v>
      </c>
      <c r="AI11" s="121">
        <f t="shared" si="0"/>
        <v>689333.544</v>
      </c>
      <c r="AJ11" s="88">
        <f t="shared" si="1"/>
        <v>0</v>
      </c>
      <c r="AK11" s="88">
        <f t="shared" si="1"/>
        <v>0</v>
      </c>
    </row>
    <row r="12" ht="28.5" spans="1:37">
      <c r="A12" s="140">
        <v>1</v>
      </c>
      <c r="B12" s="127" t="s">
        <v>310</v>
      </c>
      <c r="C12" s="177" t="s">
        <v>311</v>
      </c>
      <c r="D12" s="174" t="s">
        <v>309</v>
      </c>
      <c r="E12" s="178" t="s">
        <v>78</v>
      </c>
      <c r="F12" s="179" t="s">
        <v>312</v>
      </c>
      <c r="G12" s="180" t="s">
        <v>313</v>
      </c>
      <c r="H12" s="139">
        <v>4.86</v>
      </c>
      <c r="I12" s="127">
        <f>ROUND((((J12+K12))/24)+(L12+M12+N12)/18,2)</f>
        <v>1.53</v>
      </c>
      <c r="J12" s="191"/>
      <c r="K12" s="191"/>
      <c r="L12" s="192"/>
      <c r="M12" s="154">
        <v>20</v>
      </c>
      <c r="N12" s="154">
        <v>7.5</v>
      </c>
      <c r="O12" s="152">
        <f t="shared" si="2"/>
        <v>27.5</v>
      </c>
      <c r="P12" s="110">
        <f>SUM(($H$4*H12)/24)*J12</f>
        <v>0</v>
      </c>
      <c r="Q12" s="121">
        <f>SUM(($H$4*H12)/24)*K12</f>
        <v>0</v>
      </c>
      <c r="R12" s="121">
        <f>($H$4*H12)/18*L12</f>
        <v>0</v>
      </c>
      <c r="S12" s="121">
        <f>($H$4*H12)*M12/18</f>
        <v>95563.8</v>
      </c>
      <c r="T12" s="121">
        <f>($H$4*H12)/18*N12</f>
        <v>35836.425</v>
      </c>
      <c r="U12" s="121">
        <f>SUM(P12:T12)</f>
        <v>131400.225</v>
      </c>
      <c r="V12" s="122"/>
      <c r="W12" s="121">
        <f>SUM(U12*V12)/100</f>
        <v>0</v>
      </c>
      <c r="X12" s="121">
        <f>SUM(U12,W12)</f>
        <v>131400.225</v>
      </c>
      <c r="Y12" s="122"/>
      <c r="Z12" s="110">
        <f>SUM($H$4*$H12*Y12/18)*0.5</f>
        <v>0</v>
      </c>
      <c r="AA12" s="122"/>
      <c r="AB12" s="110">
        <f>SUM($H$4*$H12*AA12/18)*0.4</f>
        <v>0</v>
      </c>
      <c r="AC12" s="128">
        <v>27</v>
      </c>
      <c r="AD12" s="110">
        <f t="shared" ref="AD12:AD22" si="3">SUM($H$4*$H12*AC12/18)*0.35</f>
        <v>45153.8955</v>
      </c>
      <c r="AE12" s="128"/>
      <c r="AF12" s="110">
        <f t="shared" ref="AF12:AF22" si="4">SUM($H$4*$H12*AE12/18)*0.3</f>
        <v>0</v>
      </c>
      <c r="AG12" s="134">
        <f t="shared" ref="AG12:AG28" si="5">SUM(Z12+AB12+AD12+AF12)</f>
        <v>45153.8955</v>
      </c>
      <c r="AH12" s="121">
        <f t="shared" ref="AH12:AH22" si="6">AG12</f>
        <v>45153.8955</v>
      </c>
      <c r="AI12" s="121">
        <f t="shared" si="0"/>
        <v>541846.746</v>
      </c>
      <c r="AJ12" s="211"/>
      <c r="AK12" s="212">
        <f t="shared" ref="AK12:AK22" si="7">SUM(($H$4*H12)+(($H$4*H12*V12)/100))*AJ12</f>
        <v>0</v>
      </c>
    </row>
    <row r="13" ht="31.5" spans="1:37">
      <c r="A13" s="140">
        <v>2</v>
      </c>
      <c r="B13" s="127" t="s">
        <v>83</v>
      </c>
      <c r="C13" s="177" t="s">
        <v>314</v>
      </c>
      <c r="D13" s="174" t="s">
        <v>309</v>
      </c>
      <c r="E13" s="178" t="s">
        <v>78</v>
      </c>
      <c r="F13" s="179" t="s">
        <v>312</v>
      </c>
      <c r="G13" s="146">
        <v>39</v>
      </c>
      <c r="H13" s="138">
        <v>5.2</v>
      </c>
      <c r="I13" s="127">
        <v>1</v>
      </c>
      <c r="J13" s="191">
        <v>0.25</v>
      </c>
      <c r="K13" s="191"/>
      <c r="L13" s="192">
        <v>8</v>
      </c>
      <c r="M13" s="193">
        <v>12</v>
      </c>
      <c r="N13" s="193">
        <v>2</v>
      </c>
      <c r="O13" s="150">
        <f t="shared" si="2"/>
        <v>22.25</v>
      </c>
      <c r="P13" s="110">
        <f t="shared" ref="P13:P23" si="8">SUM(($H$4*H13)/24)*J13</f>
        <v>958.5875</v>
      </c>
      <c r="Q13" s="121">
        <f t="shared" ref="Q13:Q22" si="9">SUM(($H$4*H13)/24)*K13</f>
        <v>0</v>
      </c>
      <c r="R13" s="121">
        <f t="shared" ref="R13:R22" si="10">($H$4*H13)/18*L13</f>
        <v>40899.7333333333</v>
      </c>
      <c r="S13" s="121">
        <f t="shared" ref="S13:S28" si="11">($H$4*H13)*M13/18</f>
        <v>61349.6</v>
      </c>
      <c r="T13" s="121">
        <f t="shared" ref="T13:T28" si="12">($H$4*H13)/18*N13</f>
        <v>10224.9333333333</v>
      </c>
      <c r="U13" s="121">
        <f t="shared" ref="U13:U28" si="13">SUM(P13:T13)</f>
        <v>113432.854166667</v>
      </c>
      <c r="V13" s="122"/>
      <c r="W13" s="121">
        <f t="shared" ref="W13:W20" si="14">SUM(U13*V13)/100</f>
        <v>0</v>
      </c>
      <c r="X13" s="121">
        <f t="shared" ref="X13:X27" si="15">SUM(U13,W13)</f>
        <v>113432.854166667</v>
      </c>
      <c r="Y13" s="122"/>
      <c r="Z13" s="110"/>
      <c r="AA13" s="122"/>
      <c r="AB13" s="110"/>
      <c r="AC13" s="128">
        <v>18</v>
      </c>
      <c r="AD13" s="110">
        <f t="shared" si="3"/>
        <v>32208.54</v>
      </c>
      <c r="AE13" s="128"/>
      <c r="AF13" s="110">
        <f t="shared" si="4"/>
        <v>0</v>
      </c>
      <c r="AG13" s="134">
        <f t="shared" si="5"/>
        <v>32208.54</v>
      </c>
      <c r="AH13" s="121">
        <f t="shared" si="6"/>
        <v>32208.54</v>
      </c>
      <c r="AI13" s="121">
        <f t="shared" si="0"/>
        <v>386502.48</v>
      </c>
      <c r="AJ13" s="211"/>
      <c r="AK13" s="212">
        <f t="shared" si="7"/>
        <v>0</v>
      </c>
    </row>
    <row r="14" ht="31.5" spans="1:37">
      <c r="A14" s="140">
        <v>3</v>
      </c>
      <c r="B14" s="127" t="s">
        <v>315</v>
      </c>
      <c r="C14" s="177" t="s">
        <v>316</v>
      </c>
      <c r="D14" s="174" t="s">
        <v>309</v>
      </c>
      <c r="E14" s="178" t="s">
        <v>78</v>
      </c>
      <c r="F14" s="179" t="s">
        <v>312</v>
      </c>
      <c r="G14" s="86">
        <v>17.1</v>
      </c>
      <c r="H14" s="139">
        <v>5.03</v>
      </c>
      <c r="I14" s="127">
        <v>1</v>
      </c>
      <c r="J14" s="191"/>
      <c r="K14" s="191"/>
      <c r="L14" s="192"/>
      <c r="M14" s="193">
        <v>11</v>
      </c>
      <c r="N14" s="193">
        <v>3</v>
      </c>
      <c r="O14" s="150">
        <f t="shared" si="2"/>
        <v>14</v>
      </c>
      <c r="P14" s="110">
        <f t="shared" si="8"/>
        <v>0</v>
      </c>
      <c r="Q14" s="121">
        <f t="shared" si="9"/>
        <v>0</v>
      </c>
      <c r="R14" s="121">
        <f t="shared" si="10"/>
        <v>0</v>
      </c>
      <c r="S14" s="121">
        <f t="shared" si="11"/>
        <v>54398.6116666667</v>
      </c>
      <c r="T14" s="121">
        <f t="shared" si="12"/>
        <v>14835.985</v>
      </c>
      <c r="U14" s="121">
        <f t="shared" si="13"/>
        <v>69234.5966666667</v>
      </c>
      <c r="V14" s="122"/>
      <c r="W14" s="121">
        <f t="shared" si="14"/>
        <v>0</v>
      </c>
      <c r="X14" s="121">
        <f t="shared" si="15"/>
        <v>69234.5966666667</v>
      </c>
      <c r="Y14" s="122"/>
      <c r="Z14" s="110"/>
      <c r="AA14" s="122"/>
      <c r="AB14" s="110"/>
      <c r="AC14" s="206">
        <v>18</v>
      </c>
      <c r="AD14" s="110">
        <f t="shared" si="3"/>
        <v>31155.5685</v>
      </c>
      <c r="AE14" s="128"/>
      <c r="AF14" s="110">
        <f t="shared" si="4"/>
        <v>0</v>
      </c>
      <c r="AG14" s="134">
        <f t="shared" si="5"/>
        <v>31155.5685</v>
      </c>
      <c r="AH14" s="121">
        <f t="shared" si="6"/>
        <v>31155.5685</v>
      </c>
      <c r="AI14" s="121">
        <f t="shared" si="0"/>
        <v>373866.822</v>
      </c>
      <c r="AJ14" s="211"/>
      <c r="AK14" s="212">
        <f t="shared" si="7"/>
        <v>0</v>
      </c>
    </row>
    <row r="15" ht="28.5" spans="1:37">
      <c r="A15" s="140">
        <v>4</v>
      </c>
      <c r="B15" s="127" t="s">
        <v>84</v>
      </c>
      <c r="C15" s="177" t="s">
        <v>259</v>
      </c>
      <c r="D15" s="174" t="s">
        <v>309</v>
      </c>
      <c r="E15" s="178" t="s">
        <v>78</v>
      </c>
      <c r="F15" s="179" t="s">
        <v>312</v>
      </c>
      <c r="G15" s="146" t="s">
        <v>317</v>
      </c>
      <c r="H15" s="139">
        <v>5.03</v>
      </c>
      <c r="I15" s="127">
        <v>1</v>
      </c>
      <c r="J15" s="191"/>
      <c r="K15" s="191"/>
      <c r="L15" s="192">
        <v>22</v>
      </c>
      <c r="M15" s="193"/>
      <c r="N15" s="193"/>
      <c r="O15" s="150">
        <f t="shared" si="2"/>
        <v>22</v>
      </c>
      <c r="P15" s="110">
        <f t="shared" si="8"/>
        <v>0</v>
      </c>
      <c r="Q15" s="121">
        <f t="shared" si="9"/>
        <v>0</v>
      </c>
      <c r="R15" s="121">
        <f t="shared" si="10"/>
        <v>108797.223333333</v>
      </c>
      <c r="S15" s="121">
        <f t="shared" si="11"/>
        <v>0</v>
      </c>
      <c r="T15" s="121">
        <f t="shared" si="12"/>
        <v>0</v>
      </c>
      <c r="U15" s="121">
        <f t="shared" si="13"/>
        <v>108797.223333333</v>
      </c>
      <c r="V15" s="122"/>
      <c r="W15" s="121">
        <f t="shared" si="14"/>
        <v>0</v>
      </c>
      <c r="X15" s="121">
        <f t="shared" si="15"/>
        <v>108797.223333333</v>
      </c>
      <c r="Y15" s="122"/>
      <c r="Z15" s="110"/>
      <c r="AA15" s="122"/>
      <c r="AB15" s="110"/>
      <c r="AC15" s="128">
        <v>22</v>
      </c>
      <c r="AD15" s="110">
        <f t="shared" si="3"/>
        <v>38079.0281666667</v>
      </c>
      <c r="AE15" s="128"/>
      <c r="AF15" s="110">
        <f t="shared" si="4"/>
        <v>0</v>
      </c>
      <c r="AG15" s="134">
        <f t="shared" si="5"/>
        <v>38079.0281666667</v>
      </c>
      <c r="AH15" s="121">
        <f t="shared" si="6"/>
        <v>38079.0281666667</v>
      </c>
      <c r="AI15" s="121">
        <f t="shared" si="0"/>
        <v>456948.338</v>
      </c>
      <c r="AJ15" s="211"/>
      <c r="AK15" s="212">
        <f t="shared" si="7"/>
        <v>0</v>
      </c>
    </row>
    <row r="16" ht="28.5" spans="1:37">
      <c r="A16" s="140">
        <v>5</v>
      </c>
      <c r="B16" s="127" t="s">
        <v>318</v>
      </c>
      <c r="C16" s="177" t="s">
        <v>91</v>
      </c>
      <c r="D16" s="174" t="s">
        <v>309</v>
      </c>
      <c r="E16" s="178" t="s">
        <v>78</v>
      </c>
      <c r="F16" s="179" t="s">
        <v>312</v>
      </c>
      <c r="G16" s="86">
        <v>17</v>
      </c>
      <c r="H16" s="139">
        <v>5.03</v>
      </c>
      <c r="I16" s="127">
        <v>1</v>
      </c>
      <c r="J16" s="191"/>
      <c r="K16" s="191"/>
      <c r="L16" s="192"/>
      <c r="M16" s="193">
        <v>7</v>
      </c>
      <c r="N16" s="193">
        <v>4</v>
      </c>
      <c r="O16" s="152">
        <f t="shared" si="2"/>
        <v>11</v>
      </c>
      <c r="P16" s="110">
        <f t="shared" si="8"/>
        <v>0</v>
      </c>
      <c r="Q16" s="121">
        <f t="shared" si="9"/>
        <v>0</v>
      </c>
      <c r="R16" s="121">
        <f t="shared" si="10"/>
        <v>0</v>
      </c>
      <c r="S16" s="121">
        <f t="shared" si="11"/>
        <v>34617.2983333333</v>
      </c>
      <c r="T16" s="121">
        <f t="shared" si="12"/>
        <v>19781.3133333333</v>
      </c>
      <c r="U16" s="121">
        <f t="shared" si="13"/>
        <v>54398.6116666667</v>
      </c>
      <c r="V16" s="122"/>
      <c r="W16" s="121">
        <f t="shared" si="14"/>
        <v>0</v>
      </c>
      <c r="X16" s="121">
        <f t="shared" si="15"/>
        <v>54398.6116666667</v>
      </c>
      <c r="Y16" s="122"/>
      <c r="Z16" s="110"/>
      <c r="AA16" s="122"/>
      <c r="AB16" s="110"/>
      <c r="AC16" s="128">
        <v>11</v>
      </c>
      <c r="AD16" s="110">
        <f t="shared" si="3"/>
        <v>19039.5140833333</v>
      </c>
      <c r="AE16" s="128"/>
      <c r="AF16" s="110">
        <f t="shared" si="4"/>
        <v>0</v>
      </c>
      <c r="AG16" s="134">
        <f t="shared" si="5"/>
        <v>19039.5140833333</v>
      </c>
      <c r="AH16" s="121">
        <f t="shared" si="6"/>
        <v>19039.5140833333</v>
      </c>
      <c r="AI16" s="121">
        <f t="shared" si="0"/>
        <v>228474.169</v>
      </c>
      <c r="AJ16" s="211"/>
      <c r="AK16" s="212">
        <f t="shared" si="7"/>
        <v>0</v>
      </c>
    </row>
    <row r="17" ht="31.5" spans="1:37">
      <c r="A17" s="140">
        <v>6</v>
      </c>
      <c r="B17" s="127" t="s">
        <v>92</v>
      </c>
      <c r="C17" s="177" t="s">
        <v>319</v>
      </c>
      <c r="D17" s="174" t="s">
        <v>309</v>
      </c>
      <c r="E17" s="178" t="s">
        <v>78</v>
      </c>
      <c r="F17" s="179" t="s">
        <v>312</v>
      </c>
      <c r="G17" s="86">
        <v>25.5</v>
      </c>
      <c r="H17" s="139">
        <v>5.12</v>
      </c>
      <c r="I17" s="127">
        <v>1</v>
      </c>
      <c r="J17" s="191"/>
      <c r="K17" s="191"/>
      <c r="L17" s="192"/>
      <c r="M17" s="193">
        <v>11</v>
      </c>
      <c r="N17" s="193"/>
      <c r="O17" s="152">
        <f t="shared" si="2"/>
        <v>11</v>
      </c>
      <c r="P17" s="110">
        <f t="shared" si="8"/>
        <v>0</v>
      </c>
      <c r="Q17" s="121">
        <f t="shared" si="9"/>
        <v>0</v>
      </c>
      <c r="R17" s="121">
        <f t="shared" si="10"/>
        <v>0</v>
      </c>
      <c r="S17" s="121">
        <f t="shared" si="11"/>
        <v>55371.9466666667</v>
      </c>
      <c r="T17" s="121">
        <f t="shared" si="12"/>
        <v>0</v>
      </c>
      <c r="U17" s="121">
        <f t="shared" si="13"/>
        <v>55371.9466666667</v>
      </c>
      <c r="V17" s="122"/>
      <c r="W17" s="121">
        <f t="shared" si="14"/>
        <v>0</v>
      </c>
      <c r="X17" s="121">
        <f t="shared" si="15"/>
        <v>55371.9466666667</v>
      </c>
      <c r="Y17" s="122"/>
      <c r="Z17" s="110"/>
      <c r="AA17" s="122"/>
      <c r="AB17" s="110"/>
      <c r="AC17" s="128">
        <v>9</v>
      </c>
      <c r="AD17" s="110">
        <f t="shared" si="3"/>
        <v>15856.512</v>
      </c>
      <c r="AE17" s="128"/>
      <c r="AF17" s="110">
        <f t="shared" si="4"/>
        <v>0</v>
      </c>
      <c r="AG17" s="134">
        <f t="shared" si="5"/>
        <v>15856.512</v>
      </c>
      <c r="AH17" s="121">
        <f t="shared" si="6"/>
        <v>15856.512</v>
      </c>
      <c r="AI17" s="121">
        <f t="shared" si="0"/>
        <v>190278.144</v>
      </c>
      <c r="AJ17" s="211"/>
      <c r="AK17" s="212">
        <f t="shared" si="7"/>
        <v>0</v>
      </c>
    </row>
    <row r="18" ht="31.5" spans="1:37">
      <c r="A18" s="140">
        <v>7</v>
      </c>
      <c r="B18" s="127" t="s">
        <v>79</v>
      </c>
      <c r="C18" s="177" t="s">
        <v>283</v>
      </c>
      <c r="D18" s="174" t="s">
        <v>309</v>
      </c>
      <c r="E18" s="178" t="s">
        <v>78</v>
      </c>
      <c r="F18" s="179" t="s">
        <v>312</v>
      </c>
      <c r="G18" s="86">
        <v>14.4</v>
      </c>
      <c r="H18" s="139">
        <v>4.95</v>
      </c>
      <c r="I18" s="127">
        <v>1</v>
      </c>
      <c r="J18" s="191"/>
      <c r="K18" s="191"/>
      <c r="L18" s="192"/>
      <c r="M18" s="193">
        <v>10</v>
      </c>
      <c r="N18" s="193">
        <v>3</v>
      </c>
      <c r="O18" s="152">
        <f t="shared" si="2"/>
        <v>13</v>
      </c>
      <c r="P18" s="110">
        <f t="shared" si="8"/>
        <v>0</v>
      </c>
      <c r="Q18" s="121">
        <f t="shared" si="9"/>
        <v>0</v>
      </c>
      <c r="R18" s="121">
        <f t="shared" si="10"/>
        <v>0</v>
      </c>
      <c r="S18" s="121">
        <f t="shared" si="11"/>
        <v>48666.75</v>
      </c>
      <c r="T18" s="121">
        <f t="shared" si="12"/>
        <v>14600.025</v>
      </c>
      <c r="U18" s="121">
        <f t="shared" si="13"/>
        <v>63266.775</v>
      </c>
      <c r="V18" s="122"/>
      <c r="W18" s="121">
        <f t="shared" si="14"/>
        <v>0</v>
      </c>
      <c r="X18" s="121">
        <f t="shared" si="15"/>
        <v>63266.775</v>
      </c>
      <c r="Y18" s="122"/>
      <c r="Z18" s="110"/>
      <c r="AA18" s="122"/>
      <c r="AB18" s="110"/>
      <c r="AC18" s="128">
        <v>9</v>
      </c>
      <c r="AD18" s="110">
        <f t="shared" si="3"/>
        <v>15330.02625</v>
      </c>
      <c r="AE18" s="128"/>
      <c r="AF18" s="110">
        <f t="shared" si="4"/>
        <v>0</v>
      </c>
      <c r="AG18" s="134">
        <f t="shared" si="5"/>
        <v>15330.02625</v>
      </c>
      <c r="AH18" s="121">
        <f t="shared" si="6"/>
        <v>15330.02625</v>
      </c>
      <c r="AI18" s="121">
        <f t="shared" si="0"/>
        <v>183960.315</v>
      </c>
      <c r="AJ18" s="211"/>
      <c r="AK18" s="212">
        <f t="shared" si="7"/>
        <v>0</v>
      </c>
    </row>
    <row r="19" ht="31.5" spans="1:37">
      <c r="A19" s="140">
        <v>8</v>
      </c>
      <c r="B19" s="127" t="s">
        <v>263</v>
      </c>
      <c r="C19" s="177" t="s">
        <v>259</v>
      </c>
      <c r="D19" s="174" t="s">
        <v>309</v>
      </c>
      <c r="E19" s="178" t="s">
        <v>78</v>
      </c>
      <c r="F19" s="179" t="s">
        <v>312</v>
      </c>
      <c r="G19" s="86">
        <v>8.8</v>
      </c>
      <c r="H19" s="139">
        <v>4.79</v>
      </c>
      <c r="I19" s="127">
        <v>1</v>
      </c>
      <c r="J19" s="191"/>
      <c r="K19" s="191"/>
      <c r="L19" s="192">
        <v>19</v>
      </c>
      <c r="M19" s="193"/>
      <c r="N19" s="193"/>
      <c r="O19" s="152">
        <f t="shared" si="2"/>
        <v>19</v>
      </c>
      <c r="P19" s="110">
        <f t="shared" si="8"/>
        <v>0</v>
      </c>
      <c r="Q19" s="121">
        <f t="shared" si="9"/>
        <v>0</v>
      </c>
      <c r="R19" s="121">
        <f t="shared" si="10"/>
        <v>89477.9983333333</v>
      </c>
      <c r="S19" s="121">
        <f t="shared" si="11"/>
        <v>0</v>
      </c>
      <c r="T19" s="121">
        <f t="shared" si="12"/>
        <v>0</v>
      </c>
      <c r="U19" s="121">
        <f t="shared" si="13"/>
        <v>89477.9983333333</v>
      </c>
      <c r="V19" s="122"/>
      <c r="W19" s="121">
        <f t="shared" si="14"/>
        <v>0</v>
      </c>
      <c r="X19" s="121">
        <f t="shared" si="15"/>
        <v>89477.9983333333</v>
      </c>
      <c r="Y19" s="122"/>
      <c r="Z19" s="110"/>
      <c r="AA19" s="122"/>
      <c r="AB19" s="110"/>
      <c r="AC19" s="128">
        <v>19</v>
      </c>
      <c r="AD19" s="110">
        <f t="shared" si="3"/>
        <v>31317.2994166667</v>
      </c>
      <c r="AE19" s="128"/>
      <c r="AF19" s="110">
        <f t="shared" si="4"/>
        <v>0</v>
      </c>
      <c r="AG19" s="134">
        <f t="shared" si="5"/>
        <v>31317.2994166667</v>
      </c>
      <c r="AH19" s="121">
        <f t="shared" si="6"/>
        <v>31317.2994166667</v>
      </c>
      <c r="AI19" s="121">
        <f t="shared" si="0"/>
        <v>375807.593</v>
      </c>
      <c r="AJ19" s="211"/>
      <c r="AK19" s="212">
        <f t="shared" si="7"/>
        <v>0</v>
      </c>
    </row>
    <row r="20" ht="28.5" spans="1:37">
      <c r="A20" s="140">
        <v>9</v>
      </c>
      <c r="B20" s="127" t="s">
        <v>320</v>
      </c>
      <c r="C20" s="174" t="s">
        <v>321</v>
      </c>
      <c r="D20" s="174" t="s">
        <v>309</v>
      </c>
      <c r="E20" s="178" t="s">
        <v>78</v>
      </c>
      <c r="F20" s="179" t="s">
        <v>312</v>
      </c>
      <c r="G20" s="146">
        <v>11.8</v>
      </c>
      <c r="H20" s="139">
        <v>4.86</v>
      </c>
      <c r="I20" s="127">
        <f>ROUND((((J20+K20))/24)+(L20+M20+N20)/18,2)</f>
        <v>1.06</v>
      </c>
      <c r="J20" s="194"/>
      <c r="K20" s="194"/>
      <c r="L20" s="193">
        <v>19</v>
      </c>
      <c r="M20" s="193"/>
      <c r="N20" s="193"/>
      <c r="O20" s="152">
        <f t="shared" si="2"/>
        <v>19</v>
      </c>
      <c r="P20" s="110">
        <f t="shared" si="8"/>
        <v>0</v>
      </c>
      <c r="Q20" s="121">
        <f t="shared" si="9"/>
        <v>0</v>
      </c>
      <c r="R20" s="121">
        <f t="shared" si="10"/>
        <v>90785.61</v>
      </c>
      <c r="S20" s="121">
        <f t="shared" si="11"/>
        <v>0</v>
      </c>
      <c r="T20" s="121">
        <f t="shared" si="12"/>
        <v>0</v>
      </c>
      <c r="U20" s="121">
        <f t="shared" si="13"/>
        <v>90785.61</v>
      </c>
      <c r="V20" s="122"/>
      <c r="W20" s="121">
        <f t="shared" si="14"/>
        <v>0</v>
      </c>
      <c r="X20" s="121">
        <f t="shared" si="15"/>
        <v>90785.61</v>
      </c>
      <c r="Y20" s="122"/>
      <c r="Z20" s="110">
        <f>SUM($H$4*$H20*Y20/18)*0.5</f>
        <v>0</v>
      </c>
      <c r="AA20" s="122"/>
      <c r="AB20" s="110">
        <f>SUM($H$4*$H20*AA20/18)*0.4</f>
        <v>0</v>
      </c>
      <c r="AC20" s="128">
        <v>19</v>
      </c>
      <c r="AD20" s="110">
        <f t="shared" si="3"/>
        <v>31774.9635</v>
      </c>
      <c r="AE20" s="128"/>
      <c r="AF20" s="110">
        <f t="shared" si="4"/>
        <v>0</v>
      </c>
      <c r="AG20" s="134">
        <f t="shared" si="5"/>
        <v>31774.9635</v>
      </c>
      <c r="AH20" s="121">
        <f t="shared" si="6"/>
        <v>31774.9635</v>
      </c>
      <c r="AI20" s="121">
        <f t="shared" si="0"/>
        <v>381299.562</v>
      </c>
      <c r="AJ20" s="211"/>
      <c r="AK20" s="212">
        <f t="shared" si="7"/>
        <v>0</v>
      </c>
    </row>
    <row r="21" ht="31.5" spans="1:37">
      <c r="A21" s="140">
        <v>10</v>
      </c>
      <c r="B21" s="127" t="s">
        <v>322</v>
      </c>
      <c r="C21" s="174" t="s">
        <v>321</v>
      </c>
      <c r="D21" s="174" t="s">
        <v>309</v>
      </c>
      <c r="E21" s="178" t="s">
        <v>78</v>
      </c>
      <c r="F21" s="179" t="s">
        <v>312</v>
      </c>
      <c r="G21" s="146">
        <v>10.7</v>
      </c>
      <c r="H21" s="139">
        <v>4.86</v>
      </c>
      <c r="I21" s="127">
        <f>ROUND((((J21+K21))/24)+(L21+M21+N21)/18,2)</f>
        <v>1.22</v>
      </c>
      <c r="J21" s="194"/>
      <c r="K21" s="194"/>
      <c r="L21" s="193">
        <v>22</v>
      </c>
      <c r="M21" s="193"/>
      <c r="N21" s="193"/>
      <c r="O21" s="152">
        <v>23</v>
      </c>
      <c r="P21" s="110">
        <f t="shared" si="8"/>
        <v>0</v>
      </c>
      <c r="Q21" s="121">
        <f t="shared" si="9"/>
        <v>0</v>
      </c>
      <c r="R21" s="121">
        <f t="shared" si="10"/>
        <v>105120.18</v>
      </c>
      <c r="S21" s="121">
        <f t="shared" si="11"/>
        <v>0</v>
      </c>
      <c r="T21" s="121">
        <f t="shared" si="12"/>
        <v>0</v>
      </c>
      <c r="U21" s="121">
        <f t="shared" si="13"/>
        <v>105120.18</v>
      </c>
      <c r="V21" s="122"/>
      <c r="W21" s="121"/>
      <c r="X21" s="121">
        <f t="shared" si="15"/>
        <v>105120.18</v>
      </c>
      <c r="Y21" s="122"/>
      <c r="Z21" s="110">
        <f>SUM($H$4*$H21*Y21/18)*0.5</f>
        <v>0</v>
      </c>
      <c r="AA21" s="122"/>
      <c r="AB21" s="110"/>
      <c r="AC21" s="128">
        <v>23</v>
      </c>
      <c r="AD21" s="110">
        <f t="shared" si="3"/>
        <v>38464.4295</v>
      </c>
      <c r="AE21" s="128"/>
      <c r="AF21" s="110">
        <f t="shared" si="4"/>
        <v>0</v>
      </c>
      <c r="AG21" s="134">
        <f t="shared" si="5"/>
        <v>38464.4295</v>
      </c>
      <c r="AH21" s="121">
        <f t="shared" si="6"/>
        <v>38464.4295</v>
      </c>
      <c r="AI21" s="121">
        <f t="shared" si="0"/>
        <v>461573.154</v>
      </c>
      <c r="AJ21" s="211"/>
      <c r="AK21" s="212">
        <f t="shared" si="7"/>
        <v>0</v>
      </c>
    </row>
    <row r="22" ht="28.5" spans="1:37">
      <c r="A22" s="140">
        <v>11</v>
      </c>
      <c r="B22" s="127" t="s">
        <v>133</v>
      </c>
      <c r="C22" s="174" t="s">
        <v>293</v>
      </c>
      <c r="D22" s="174" t="s">
        <v>323</v>
      </c>
      <c r="E22" s="178" t="s">
        <v>136</v>
      </c>
      <c r="F22" s="179" t="s">
        <v>80</v>
      </c>
      <c r="G22" s="146">
        <v>31.2</v>
      </c>
      <c r="H22" s="139">
        <v>4.39</v>
      </c>
      <c r="I22" s="127">
        <f>ROUND((((J22+K22))/24)+(L22+M22+N22)/18,2)</f>
        <v>0.92</v>
      </c>
      <c r="J22" s="194"/>
      <c r="K22" s="194">
        <v>22</v>
      </c>
      <c r="L22" s="193"/>
      <c r="M22" s="193"/>
      <c r="N22" s="193"/>
      <c r="O22" s="152">
        <v>22</v>
      </c>
      <c r="P22" s="110">
        <f t="shared" si="8"/>
        <v>0</v>
      </c>
      <c r="Q22" s="121">
        <f t="shared" si="9"/>
        <v>71215.6775</v>
      </c>
      <c r="R22" s="121">
        <f t="shared" si="10"/>
        <v>0</v>
      </c>
      <c r="S22" s="121">
        <f t="shared" si="11"/>
        <v>0</v>
      </c>
      <c r="T22" s="121">
        <f t="shared" si="12"/>
        <v>0</v>
      </c>
      <c r="U22" s="121">
        <f t="shared" si="13"/>
        <v>71215.6775</v>
      </c>
      <c r="V22" s="122"/>
      <c r="W22" s="121"/>
      <c r="X22" s="121">
        <f>SUM(U21,W21)</f>
        <v>105120.18</v>
      </c>
      <c r="Y22" s="122"/>
      <c r="Z22" s="110"/>
      <c r="AA22" s="122"/>
      <c r="AB22" s="110"/>
      <c r="AC22" s="128"/>
      <c r="AD22" s="110">
        <f t="shared" si="3"/>
        <v>0</v>
      </c>
      <c r="AE22" s="128"/>
      <c r="AF22" s="110">
        <f t="shared" si="4"/>
        <v>0</v>
      </c>
      <c r="AG22" s="134">
        <f t="shared" si="5"/>
        <v>0</v>
      </c>
      <c r="AH22" s="121">
        <f t="shared" si="6"/>
        <v>0</v>
      </c>
      <c r="AI22" s="121">
        <f t="shared" si="0"/>
        <v>0</v>
      </c>
      <c r="AJ22" s="211"/>
      <c r="AK22" s="212">
        <f t="shared" si="7"/>
        <v>0</v>
      </c>
    </row>
    <row r="23" ht="18.75" spans="1:37">
      <c r="A23" s="181"/>
      <c r="B23" s="88" t="s">
        <v>99</v>
      </c>
      <c r="C23" s="127"/>
      <c r="D23" s="127"/>
      <c r="E23" s="141"/>
      <c r="F23" s="142"/>
      <c r="G23" s="134"/>
      <c r="H23" s="182"/>
      <c r="I23" s="88">
        <f t="shared" ref="I23:O23" si="16">SUM(I12:I20)</f>
        <v>9.59</v>
      </c>
      <c r="J23" s="88">
        <f t="shared" si="16"/>
        <v>0.25</v>
      </c>
      <c r="K23" s="88">
        <f t="shared" si="16"/>
        <v>0</v>
      </c>
      <c r="L23" s="88">
        <f t="shared" si="16"/>
        <v>68</v>
      </c>
      <c r="M23" s="88">
        <f t="shared" si="16"/>
        <v>71</v>
      </c>
      <c r="N23" s="88">
        <f t="shared" si="16"/>
        <v>19.5</v>
      </c>
      <c r="O23" s="88">
        <f t="shared" si="16"/>
        <v>158.75</v>
      </c>
      <c r="P23" s="110">
        <f t="shared" si="8"/>
        <v>0</v>
      </c>
      <c r="Q23" s="121">
        <f t="shared" ref="Q23:Q30" si="17">SUM(($H$4*H23)/24)*K23</f>
        <v>0</v>
      </c>
      <c r="R23" s="88">
        <f>SUM(R12:R20)</f>
        <v>329960.565</v>
      </c>
      <c r="S23" s="121">
        <f t="shared" si="11"/>
        <v>0</v>
      </c>
      <c r="T23" s="121">
        <f t="shared" si="12"/>
        <v>0</v>
      </c>
      <c r="U23" s="121">
        <f t="shared" si="13"/>
        <v>329960.565</v>
      </c>
      <c r="V23" s="88">
        <f>SUM(V12:V20)</f>
        <v>0</v>
      </c>
      <c r="W23" s="168">
        <f>SUM(W12:W20)</f>
        <v>0</v>
      </c>
      <c r="X23" s="121">
        <f t="shared" si="15"/>
        <v>329960.565</v>
      </c>
      <c r="Y23" s="122"/>
      <c r="Z23" s="88">
        <f t="shared" ref="Z23:AH23" si="18">SUM(Z12:Z20)</f>
        <v>0</v>
      </c>
      <c r="AA23" s="88">
        <f t="shared" si="18"/>
        <v>0</v>
      </c>
      <c r="AB23" s="88">
        <f t="shared" si="18"/>
        <v>0</v>
      </c>
      <c r="AC23" s="88">
        <f>SUM(AC12:AC21)</f>
        <v>175</v>
      </c>
      <c r="AD23" s="88">
        <f t="shared" si="18"/>
        <v>259915.347416667</v>
      </c>
      <c r="AE23" s="88">
        <f t="shared" si="18"/>
        <v>0</v>
      </c>
      <c r="AF23" s="88">
        <f t="shared" si="18"/>
        <v>0</v>
      </c>
      <c r="AG23" s="88">
        <f t="shared" si="18"/>
        <v>259915.347416667</v>
      </c>
      <c r="AH23" s="88">
        <f t="shared" si="18"/>
        <v>259915.347416667</v>
      </c>
      <c r="AI23" s="121">
        <f t="shared" si="0"/>
        <v>3118984.169</v>
      </c>
      <c r="AJ23" s="88">
        <f>SUM(AJ12:AJ20)</f>
        <v>0</v>
      </c>
      <c r="AK23" s="88">
        <f>SUM(AK12:AK20)</f>
        <v>0</v>
      </c>
    </row>
    <row r="24" ht="31.5" spans="1:37">
      <c r="A24" s="140">
        <v>1</v>
      </c>
      <c r="B24" s="127" t="s">
        <v>324</v>
      </c>
      <c r="C24" s="77" t="s">
        <v>105</v>
      </c>
      <c r="D24" s="183" t="s">
        <v>309</v>
      </c>
      <c r="E24" s="184" t="s">
        <v>82</v>
      </c>
      <c r="F24" s="185" t="s">
        <v>113</v>
      </c>
      <c r="G24" s="86">
        <v>4.4</v>
      </c>
      <c r="H24" s="139">
        <v>4.59</v>
      </c>
      <c r="I24" s="127">
        <f>ROUND((((J24+K24))/24)+(L24+M24+N24)/18,2)</f>
        <v>0.56</v>
      </c>
      <c r="J24" s="130"/>
      <c r="K24" s="130"/>
      <c r="L24" s="122"/>
      <c r="M24" s="122">
        <v>10</v>
      </c>
      <c r="N24" s="122"/>
      <c r="O24" s="150">
        <f>SUM(J24:N24)</f>
        <v>10</v>
      </c>
      <c r="P24" s="150">
        <v>0</v>
      </c>
      <c r="Q24" s="150">
        <v>0</v>
      </c>
      <c r="R24" s="150">
        <v>0</v>
      </c>
      <c r="S24" s="121">
        <f t="shared" si="11"/>
        <v>45127.35</v>
      </c>
      <c r="T24" s="121">
        <f t="shared" si="12"/>
        <v>0</v>
      </c>
      <c r="U24" s="121">
        <f t="shared" si="13"/>
        <v>45127.35</v>
      </c>
      <c r="V24" s="150"/>
      <c r="W24" s="150"/>
      <c r="X24" s="121">
        <f t="shared" si="15"/>
        <v>45127.35</v>
      </c>
      <c r="Y24" s="122"/>
      <c r="Z24" s="150"/>
      <c r="AA24" s="150"/>
      <c r="AB24" s="150"/>
      <c r="AC24" s="150"/>
      <c r="AD24" s="150">
        <v>0</v>
      </c>
      <c r="AE24" s="150">
        <v>10</v>
      </c>
      <c r="AF24" s="110">
        <f>SUM($H$4*$H24*AE24/18)*0.3</f>
        <v>13538.205</v>
      </c>
      <c r="AG24" s="134">
        <f t="shared" si="5"/>
        <v>13538.205</v>
      </c>
      <c r="AH24" s="121">
        <f>AG24</f>
        <v>13538.205</v>
      </c>
      <c r="AI24" s="121">
        <f t="shared" si="0"/>
        <v>162458.46</v>
      </c>
      <c r="AJ24" s="211"/>
      <c r="AK24" s="212">
        <f>SUM(($H$4*H24)+(($H$4*H24*V24)/100))*AJ24</f>
        <v>0</v>
      </c>
    </row>
    <row r="25" ht="28.5" spans="1:37">
      <c r="A25" s="140">
        <v>2</v>
      </c>
      <c r="B25" s="127" t="s">
        <v>273</v>
      </c>
      <c r="C25" s="77" t="s">
        <v>119</v>
      </c>
      <c r="D25" s="183" t="s">
        <v>309</v>
      </c>
      <c r="E25" s="184" t="s">
        <v>82</v>
      </c>
      <c r="F25" s="185" t="s">
        <v>113</v>
      </c>
      <c r="G25" s="86">
        <v>3</v>
      </c>
      <c r="H25" s="15">
        <v>4.51</v>
      </c>
      <c r="I25" s="127">
        <f>ROUND((((J25+K25))/24)+(L25+M25+N25)/18,2)</f>
        <v>1.28</v>
      </c>
      <c r="J25" s="130"/>
      <c r="K25" s="130"/>
      <c r="L25" s="122"/>
      <c r="M25" s="154">
        <v>14</v>
      </c>
      <c r="N25" s="154">
        <v>9</v>
      </c>
      <c r="O25" s="150">
        <f>SUM(J25:N25)</f>
        <v>23</v>
      </c>
      <c r="P25" s="150"/>
      <c r="Q25" s="150">
        <v>0</v>
      </c>
      <c r="R25" s="150">
        <v>0</v>
      </c>
      <c r="S25" s="121">
        <f t="shared" si="11"/>
        <v>62077.1433333333</v>
      </c>
      <c r="T25" s="121">
        <f t="shared" si="12"/>
        <v>39906.735</v>
      </c>
      <c r="U25" s="121">
        <f t="shared" si="13"/>
        <v>101983.878333333</v>
      </c>
      <c r="V25" s="150">
        <f t="shared" ref="V25:W25" si="19">SUM(Q25:U25)</f>
        <v>203967.756666667</v>
      </c>
      <c r="W25" s="150">
        <f t="shared" si="19"/>
        <v>407935.513333333</v>
      </c>
      <c r="X25" s="121">
        <f t="shared" si="15"/>
        <v>509919.391666667</v>
      </c>
      <c r="Y25" s="150"/>
      <c r="Z25" s="150"/>
      <c r="AA25" s="150"/>
      <c r="AB25" s="150"/>
      <c r="AC25" s="150"/>
      <c r="AD25" s="150">
        <v>0</v>
      </c>
      <c r="AE25" s="128">
        <v>23</v>
      </c>
      <c r="AF25" s="110">
        <f>SUM($H$4*$H25*AE25/18)*0.3</f>
        <v>30595.1635</v>
      </c>
      <c r="AG25" s="134">
        <f t="shared" si="5"/>
        <v>30595.1635</v>
      </c>
      <c r="AH25" s="121">
        <f>AG25</f>
        <v>30595.1635</v>
      </c>
      <c r="AI25" s="121">
        <f t="shared" si="0"/>
        <v>367141.962</v>
      </c>
      <c r="AJ25" s="211"/>
      <c r="AK25" s="212">
        <f>SUM(($H$4*H25)+(($H$4*H25*V25)/100))*AJ25</f>
        <v>0</v>
      </c>
    </row>
    <row r="26" ht="31.5" spans="1:37">
      <c r="A26" s="140">
        <v>3</v>
      </c>
      <c r="B26" s="127" t="s">
        <v>325</v>
      </c>
      <c r="C26" s="77" t="s">
        <v>259</v>
      </c>
      <c r="D26" s="183" t="s">
        <v>309</v>
      </c>
      <c r="E26" s="184" t="s">
        <v>82</v>
      </c>
      <c r="F26" s="185" t="s">
        <v>113</v>
      </c>
      <c r="G26" s="86">
        <v>8.1</v>
      </c>
      <c r="H26" s="15">
        <v>4.74</v>
      </c>
      <c r="I26" s="127">
        <f>ROUND((((J26+K26))/24)+(L26+M26+N26)/18,2)</f>
        <v>0.83</v>
      </c>
      <c r="J26" s="130"/>
      <c r="K26" s="130"/>
      <c r="L26" s="122">
        <v>15</v>
      </c>
      <c r="M26" s="154"/>
      <c r="N26" s="154"/>
      <c r="O26" s="150">
        <f>SUM(J26:N26)</f>
        <v>15</v>
      </c>
      <c r="P26" s="150">
        <v>0</v>
      </c>
      <c r="Q26" s="150">
        <v>0</v>
      </c>
      <c r="R26" s="150">
        <v>69903.15</v>
      </c>
      <c r="S26" s="121">
        <f t="shared" si="11"/>
        <v>0</v>
      </c>
      <c r="T26" s="121">
        <f t="shared" si="12"/>
        <v>0</v>
      </c>
      <c r="U26" s="121">
        <f t="shared" si="13"/>
        <v>69903.15</v>
      </c>
      <c r="V26" s="122"/>
      <c r="W26" s="121"/>
      <c r="X26" s="121">
        <f t="shared" si="15"/>
        <v>69903.15</v>
      </c>
      <c r="Y26" s="122"/>
      <c r="Z26" s="150"/>
      <c r="AA26" s="150"/>
      <c r="AB26" s="150"/>
      <c r="AC26" s="128"/>
      <c r="AD26" s="150">
        <v>0</v>
      </c>
      <c r="AE26" s="128">
        <v>15</v>
      </c>
      <c r="AF26" s="110">
        <f>SUM($H$4*$H26*AE26/18)*0.3</f>
        <v>20970.945</v>
      </c>
      <c r="AG26" s="134">
        <f t="shared" si="5"/>
        <v>20970.945</v>
      </c>
      <c r="AH26" s="121">
        <f>AG26</f>
        <v>20970.945</v>
      </c>
      <c r="AI26" s="121">
        <f t="shared" si="0"/>
        <v>251651.34</v>
      </c>
      <c r="AJ26" s="211"/>
      <c r="AK26" s="212">
        <f>SUM(($H$4*H26)+(($H$4*H26*V26)/100))*AJ26</f>
        <v>0</v>
      </c>
    </row>
    <row r="27" ht="28.5" spans="1:37">
      <c r="A27" s="140">
        <v>4</v>
      </c>
      <c r="B27" s="127" t="s">
        <v>326</v>
      </c>
      <c r="C27" s="77" t="s">
        <v>327</v>
      </c>
      <c r="D27" s="183" t="s">
        <v>309</v>
      </c>
      <c r="E27" s="184" t="s">
        <v>82</v>
      </c>
      <c r="F27" s="185" t="s">
        <v>113</v>
      </c>
      <c r="G27" s="86">
        <v>3.4</v>
      </c>
      <c r="H27" s="15">
        <v>4.59</v>
      </c>
      <c r="I27" s="127">
        <f>ROUND((((J27+K27))/24)+(L27+M27+N27)/18,2)</f>
        <v>1.61</v>
      </c>
      <c r="J27" s="130"/>
      <c r="K27" s="130">
        <v>4</v>
      </c>
      <c r="L27" s="122">
        <v>8</v>
      </c>
      <c r="M27" s="154">
        <v>15</v>
      </c>
      <c r="N27" s="154">
        <v>3</v>
      </c>
      <c r="O27" s="150">
        <f>SUM(J27:N27)</f>
        <v>30</v>
      </c>
      <c r="P27" s="150"/>
      <c r="Q27" s="150">
        <v>0</v>
      </c>
      <c r="R27" s="150">
        <v>69903.15</v>
      </c>
      <c r="S27" s="121">
        <f t="shared" si="11"/>
        <v>67691.025</v>
      </c>
      <c r="T27" s="121">
        <f t="shared" si="12"/>
        <v>13538.205</v>
      </c>
      <c r="U27" s="121">
        <f t="shared" si="13"/>
        <v>151132.38</v>
      </c>
      <c r="V27" s="122"/>
      <c r="W27" s="121"/>
      <c r="X27" s="121">
        <f t="shared" si="15"/>
        <v>151132.38</v>
      </c>
      <c r="Y27" s="122"/>
      <c r="Z27" s="150"/>
      <c r="AA27" s="150"/>
      <c r="AB27" s="150"/>
      <c r="AC27" s="128"/>
      <c r="AD27" s="150">
        <v>0</v>
      </c>
      <c r="AE27" s="128">
        <v>30</v>
      </c>
      <c r="AF27" s="110">
        <f>SUM($H$4*$H27*AE27/18)*0.3</f>
        <v>40614.615</v>
      </c>
      <c r="AG27" s="134">
        <f t="shared" si="5"/>
        <v>40614.615</v>
      </c>
      <c r="AH27" s="121">
        <f>AG27</f>
        <v>40614.615</v>
      </c>
      <c r="AI27" s="121">
        <f t="shared" si="0"/>
        <v>487375.38</v>
      </c>
      <c r="AJ27" s="211"/>
      <c r="AK27" s="212">
        <f>SUM(($H$4*H27)+(($H$4*H27*V27)/100))*AJ27</f>
        <v>0</v>
      </c>
    </row>
    <row r="28" ht="31.5" spans="1:37">
      <c r="A28" s="140">
        <v>5</v>
      </c>
      <c r="B28" s="186" t="s">
        <v>268</v>
      </c>
      <c r="C28" s="187" t="s">
        <v>102</v>
      </c>
      <c r="D28" s="183" t="s">
        <v>309</v>
      </c>
      <c r="E28" s="184" t="s">
        <v>82</v>
      </c>
      <c r="F28" s="185" t="s">
        <v>113</v>
      </c>
      <c r="G28" s="86">
        <v>4.4</v>
      </c>
      <c r="H28" s="139">
        <v>4.59</v>
      </c>
      <c r="I28" s="127">
        <f>ROUND((((J28+K28))/24)+(L28+M28+N28)/18,2)</f>
        <v>1.17</v>
      </c>
      <c r="J28" s="194"/>
      <c r="K28" s="194"/>
      <c r="L28" s="193"/>
      <c r="M28" s="193">
        <v>18</v>
      </c>
      <c r="N28" s="193">
        <v>3</v>
      </c>
      <c r="O28" s="150">
        <f>SUM(J28:N28)</f>
        <v>21</v>
      </c>
      <c r="P28" s="110">
        <f>SUM(($H$4*H28)/24)*J28</f>
        <v>0</v>
      </c>
      <c r="Q28" s="121">
        <f>SUM(($H$4*H28)/24)*K28</f>
        <v>0</v>
      </c>
      <c r="R28" s="121">
        <f>($H$4*H28)/18*L28</f>
        <v>0</v>
      </c>
      <c r="S28" s="121">
        <f t="shared" si="11"/>
        <v>81229.23</v>
      </c>
      <c r="T28" s="121">
        <f t="shared" si="12"/>
        <v>13538.205</v>
      </c>
      <c r="U28" s="121">
        <f t="shared" si="13"/>
        <v>94767.435</v>
      </c>
      <c r="V28" s="122"/>
      <c r="W28" s="121">
        <f>(U25*V28)/100</f>
        <v>0</v>
      </c>
      <c r="X28" s="121">
        <f>SUM(U25,W28)</f>
        <v>101983.878333333</v>
      </c>
      <c r="Y28" s="122"/>
      <c r="Z28" s="150"/>
      <c r="AA28" s="150"/>
      <c r="AB28" s="150"/>
      <c r="AC28" s="128"/>
      <c r="AD28" s="150">
        <v>0</v>
      </c>
      <c r="AE28" s="128">
        <v>21</v>
      </c>
      <c r="AF28" s="110">
        <f>SUM($H$4*$H28*AE28/18)*0.3</f>
        <v>28430.2305</v>
      </c>
      <c r="AG28" s="134">
        <f t="shared" si="5"/>
        <v>28430.2305</v>
      </c>
      <c r="AH28" s="121">
        <f>AG28</f>
        <v>28430.2305</v>
      </c>
      <c r="AI28" s="121">
        <f t="shared" si="0"/>
        <v>341162.766</v>
      </c>
      <c r="AJ28" s="211"/>
      <c r="AK28" s="212">
        <f>SUM(($H$4*H28)+(($H$4*H28*V28)/100))*AJ28</f>
        <v>0</v>
      </c>
    </row>
    <row r="29" ht="18.75" spans="1:37">
      <c r="A29" s="147"/>
      <c r="B29" s="88" t="s">
        <v>107</v>
      </c>
      <c r="C29" s="127"/>
      <c r="D29" s="127"/>
      <c r="E29" s="141"/>
      <c r="F29" s="142"/>
      <c r="G29" s="134"/>
      <c r="H29" s="95"/>
      <c r="I29" s="88">
        <f>SUM(I24:I28)</f>
        <v>5.45</v>
      </c>
      <c r="J29" s="88">
        <f>SUM(J24:J28)</f>
        <v>0</v>
      </c>
      <c r="K29" s="88">
        <f t="shared" ref="K29:AK29" si="20">SUM(K24:K28)</f>
        <v>4</v>
      </c>
      <c r="L29" s="88">
        <f t="shared" si="20"/>
        <v>23</v>
      </c>
      <c r="M29" s="88">
        <f t="shared" si="20"/>
        <v>57</v>
      </c>
      <c r="N29" s="88">
        <f t="shared" si="20"/>
        <v>15</v>
      </c>
      <c r="O29" s="88">
        <f t="shared" si="20"/>
        <v>99</v>
      </c>
      <c r="P29" s="110">
        <f>SUM(($H$4*H29)/24)*J29</f>
        <v>0</v>
      </c>
      <c r="Q29" s="121">
        <f t="shared" si="17"/>
        <v>0</v>
      </c>
      <c r="R29" s="88">
        <f t="shared" si="20"/>
        <v>139806.3</v>
      </c>
      <c r="S29" s="88">
        <f t="shared" si="20"/>
        <v>256124.748333333</v>
      </c>
      <c r="T29" s="168">
        <f t="shared" si="20"/>
        <v>66983.145</v>
      </c>
      <c r="U29" s="88">
        <f>SUM(U24:U25)</f>
        <v>147111.228333333</v>
      </c>
      <c r="V29" s="88">
        <f t="shared" si="20"/>
        <v>203967.756666667</v>
      </c>
      <c r="W29" s="168">
        <f t="shared" si="20"/>
        <v>407935.513333333</v>
      </c>
      <c r="X29" s="168">
        <f t="shared" si="20"/>
        <v>878066.15</v>
      </c>
      <c r="Y29" s="88">
        <f t="shared" si="20"/>
        <v>0</v>
      </c>
      <c r="Z29" s="88">
        <f t="shared" si="20"/>
        <v>0</v>
      </c>
      <c r="AA29" s="88">
        <f t="shared" si="20"/>
        <v>0</v>
      </c>
      <c r="AB29" s="88">
        <f t="shared" si="20"/>
        <v>0</v>
      </c>
      <c r="AC29" s="88">
        <f t="shared" si="20"/>
        <v>0</v>
      </c>
      <c r="AD29" s="88">
        <f t="shared" si="20"/>
        <v>0</v>
      </c>
      <c r="AE29" s="207">
        <f t="shared" si="20"/>
        <v>99</v>
      </c>
      <c r="AF29" s="88">
        <f t="shared" si="20"/>
        <v>134149.159</v>
      </c>
      <c r="AG29" s="88">
        <f t="shared" si="20"/>
        <v>134149.159</v>
      </c>
      <c r="AH29" s="88">
        <f t="shared" si="20"/>
        <v>134149.159</v>
      </c>
      <c r="AI29" s="121">
        <f t="shared" si="0"/>
        <v>1609789.908</v>
      </c>
      <c r="AJ29" s="88">
        <f t="shared" si="20"/>
        <v>0</v>
      </c>
      <c r="AK29" s="88">
        <f t="shared" si="20"/>
        <v>0</v>
      </c>
    </row>
    <row r="30" ht="15.75" spans="1:37">
      <c r="A30" s="94"/>
      <c r="B30" s="95" t="s">
        <v>142</v>
      </c>
      <c r="C30" s="95"/>
      <c r="D30" s="95"/>
      <c r="E30" s="95"/>
      <c r="F30" s="96"/>
      <c r="G30" s="95"/>
      <c r="H30" s="95"/>
      <c r="I30" s="88">
        <f t="shared" ref="I30:P30" si="21">SUM(I11+I23+I29)</f>
        <v>16.68</v>
      </c>
      <c r="J30" s="88">
        <f t="shared" si="21"/>
        <v>0.25</v>
      </c>
      <c r="K30" s="88">
        <f t="shared" si="21"/>
        <v>4</v>
      </c>
      <c r="L30" s="88">
        <f t="shared" si="21"/>
        <v>99</v>
      </c>
      <c r="M30" s="88">
        <f t="shared" si="21"/>
        <v>152</v>
      </c>
      <c r="N30" s="88">
        <f t="shared" si="21"/>
        <v>38</v>
      </c>
      <c r="O30" s="88">
        <f t="shared" si="21"/>
        <v>293.25</v>
      </c>
      <c r="P30" s="88">
        <f t="shared" si="21"/>
        <v>0</v>
      </c>
      <c r="Q30" s="121">
        <f t="shared" si="17"/>
        <v>0</v>
      </c>
      <c r="R30" s="168">
        <f t="shared" ref="R30:Z30" si="22">SUM(R11+R23+R29)</f>
        <v>491042.591666667</v>
      </c>
      <c r="S30" s="88">
        <f t="shared" si="22"/>
        <v>383444.831666667</v>
      </c>
      <c r="T30" s="88">
        <f t="shared" si="22"/>
        <v>85599.4058333333</v>
      </c>
      <c r="U30" s="88">
        <f t="shared" si="22"/>
        <v>664912.0375</v>
      </c>
      <c r="V30" s="88">
        <f t="shared" si="22"/>
        <v>203967.756666667</v>
      </c>
      <c r="W30" s="168">
        <f t="shared" si="22"/>
        <v>407935.513333333</v>
      </c>
      <c r="X30" s="88">
        <f t="shared" si="22"/>
        <v>1395845.95916667</v>
      </c>
      <c r="Y30" s="88">
        <f t="shared" si="22"/>
        <v>0</v>
      </c>
      <c r="Z30" s="88">
        <f t="shared" si="22"/>
        <v>0</v>
      </c>
      <c r="AA30" s="88">
        <v>0</v>
      </c>
      <c r="AB30" s="88">
        <v>0</v>
      </c>
      <c r="AC30" s="88">
        <f t="shared" ref="AC30:AH30" si="23">SUM(AC11+AC23+AC29)</f>
        <v>175</v>
      </c>
      <c r="AD30" s="88">
        <f t="shared" si="23"/>
        <v>259915.347416667</v>
      </c>
      <c r="AE30" s="88">
        <f t="shared" si="23"/>
        <v>99</v>
      </c>
      <c r="AF30" s="88">
        <f t="shared" si="23"/>
        <v>134149.159</v>
      </c>
      <c r="AG30" s="88">
        <f t="shared" si="23"/>
        <v>463873.272416667</v>
      </c>
      <c r="AH30" s="88">
        <f t="shared" si="23"/>
        <v>451508.968416667</v>
      </c>
      <c r="AI30" s="121">
        <f t="shared" si="0"/>
        <v>5418107.621</v>
      </c>
      <c r="AJ30" s="88">
        <f>SUM(AJ11+AJ23+AJ29)</f>
        <v>0</v>
      </c>
      <c r="AK30" s="88">
        <f>SUM(AK11+AK23+AK29)</f>
        <v>0</v>
      </c>
    </row>
    <row r="31" ht="15.75" spans="1:37">
      <c r="A31" s="98"/>
      <c r="B31" s="98"/>
      <c r="C31" s="101" t="s">
        <v>328</v>
      </c>
      <c r="D31" s="101"/>
      <c r="E31" s="101"/>
      <c r="F31" s="102"/>
      <c r="G31" s="103"/>
      <c r="H31" s="101" t="s">
        <v>298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54"/>
      <c r="T31" s="101" t="s">
        <v>329</v>
      </c>
      <c r="U31" s="101"/>
      <c r="V31" s="54"/>
      <c r="W31" s="205"/>
      <c r="X31" s="103" t="s">
        <v>330</v>
      </c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77"/>
      <c r="AK31" s="77"/>
    </row>
    <row r="32" ht="15.75" spans="1:37">
      <c r="A32" s="98"/>
      <c r="B32" s="100"/>
      <c r="C32" s="101"/>
      <c r="D32" s="101"/>
      <c r="E32" s="101"/>
      <c r="F32" s="102"/>
      <c r="G32" s="103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54"/>
      <c r="T32" s="101"/>
      <c r="U32" s="101" t="s">
        <v>331</v>
      </c>
      <c r="V32" s="54"/>
      <c r="W32" s="205"/>
      <c r="X32" s="103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77"/>
      <c r="AK32" s="77"/>
    </row>
    <row r="33" ht="15.75" spans="1:37">
      <c r="A33" s="54"/>
      <c r="B33" s="54"/>
      <c r="C33" s="103" t="s">
        <v>149</v>
      </c>
      <c r="D33" s="103"/>
      <c r="E33" s="103"/>
      <c r="F33" s="102"/>
      <c r="G33" s="103"/>
      <c r="H33" s="101" t="s">
        <v>150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54"/>
      <c r="T33" s="101" t="s">
        <v>332</v>
      </c>
      <c r="U33" s="101"/>
      <c r="V33" s="54"/>
      <c r="W33" s="205"/>
      <c r="X33" s="103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77"/>
      <c r="AK33" s="77"/>
    </row>
    <row r="34" ht="15.75" spans="1:37">
      <c r="A34" s="54"/>
      <c r="B34" s="54"/>
      <c r="C34" s="103"/>
      <c r="D34" s="103"/>
      <c r="E34" s="103"/>
      <c r="F34" s="102"/>
      <c r="G34" s="103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54"/>
      <c r="T34" s="101"/>
      <c r="U34" s="101"/>
      <c r="V34" s="54"/>
      <c r="W34" s="205"/>
      <c r="X34" s="103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77"/>
      <c r="AK34" s="77"/>
    </row>
    <row r="35" ht="15.75" spans="1:37">
      <c r="A35" s="54"/>
      <c r="B35" s="54"/>
      <c r="C35" s="103"/>
      <c r="D35" s="103"/>
      <c r="E35" s="103"/>
      <c r="F35" s="102"/>
      <c r="G35" s="103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54"/>
      <c r="T35" s="101" t="s">
        <v>333</v>
      </c>
      <c r="U35" s="101"/>
      <c r="V35" s="54"/>
      <c r="W35" s="205"/>
      <c r="X35" s="103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77"/>
      <c r="AK35" s="77"/>
    </row>
    <row r="36" ht="15.75" spans="1:37">
      <c r="A36" s="54"/>
      <c r="B36" s="54"/>
      <c r="C36" s="103"/>
      <c r="D36" s="103"/>
      <c r="E36" s="103"/>
      <c r="F36" s="103"/>
      <c r="G36" s="103"/>
      <c r="H36" s="103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54"/>
      <c r="T36" s="101"/>
      <c r="U36" s="101"/>
      <c r="V36" s="54"/>
      <c r="W36" s="205"/>
      <c r="X36" s="103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77"/>
      <c r="AK36" s="77"/>
    </row>
    <row r="37" ht="15.75" spans="1:37">
      <c r="A37" s="54"/>
      <c r="B37" s="54"/>
      <c r="C37" s="103" t="s">
        <v>153</v>
      </c>
      <c r="D37" s="103"/>
      <c r="E37" s="103"/>
      <c r="F37" s="101"/>
      <c r="G37" s="103"/>
      <c r="H37" s="101" t="s">
        <v>154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54"/>
      <c r="T37" s="101" t="s">
        <v>334</v>
      </c>
      <c r="U37" s="101"/>
      <c r="V37" s="54"/>
      <c r="W37" s="205"/>
      <c r="X37" s="103" t="s">
        <v>335</v>
      </c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77"/>
      <c r="AK37" s="77"/>
    </row>
    <row r="38" ht="15.75" spans="2:20">
      <c r="B38" s="54"/>
      <c r="T38" t="s">
        <v>336</v>
      </c>
    </row>
  </sheetData>
  <mergeCells count="29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Z6"/>
    <mergeCell ref="AA6:AB6"/>
    <mergeCell ref="AC6:AD6"/>
    <mergeCell ref="AE6:AF6"/>
    <mergeCell ref="T37:U37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AG6:AG7"/>
    <mergeCell ref="AH5:AH7"/>
    <mergeCell ref="AI5:AI7"/>
    <mergeCell ref="P5:U6"/>
    <mergeCell ref="AJ5:AK6"/>
  </mergeCells>
  <pageMargins left="0.708661417322835" right="0.708661417322835" top="0.748031496062992" bottom="0.748031496062992" header="0.31496062992126" footer="0.31496062992126"/>
  <pageSetup paperSize="9" scale="51" fitToWidth="2" orientation="landscape"/>
  <headerFooter/>
  <colBreaks count="1" manualBreakCount="1">
    <brk id="2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24"/>
  <sheetViews>
    <sheetView view="pageBreakPreview" zoomScale="70" zoomScaleNormal="80" workbookViewId="0">
      <pane xSplit="15" ySplit="7" topLeftCell="BG8" activePane="bottomRight" state="frozen"/>
      <selection/>
      <selection pane="topRight"/>
      <selection pane="bottomLeft"/>
      <selection pane="bottomRight" activeCell="I17" sqref="I17"/>
    </sheetView>
  </sheetViews>
  <sheetFormatPr defaultColWidth="9.14285714285714" defaultRowHeight="15"/>
  <cols>
    <col min="1" max="1" width="7.28571428571429" style="77" customWidth="1"/>
    <col min="2" max="2" width="45" style="77" customWidth="1"/>
    <col min="3" max="3" width="26.1428571428571" style="77" customWidth="1"/>
    <col min="4" max="4" width="15" style="77" customWidth="1"/>
    <col min="5" max="5" width="9.85714285714286" style="77" customWidth="1"/>
    <col min="6" max="6" width="13.4285714285714" style="77" customWidth="1"/>
    <col min="7" max="7" width="15.1428571428571" style="77" customWidth="1"/>
    <col min="8" max="8" width="9.14285714285714" style="77"/>
    <col min="9" max="9" width="10.8571428571429" style="77" customWidth="1"/>
    <col min="10" max="13" width="9.14285714285714" style="77"/>
    <col min="14" max="14" width="11" style="77" customWidth="1"/>
    <col min="15" max="15" width="9.14285714285714" style="77"/>
    <col min="16" max="16" width="10.8571428571429" style="77" customWidth="1"/>
    <col min="17" max="17" width="13.2857142857143" style="77" customWidth="1"/>
    <col min="18" max="20" width="15.2857142857143" style="77" customWidth="1"/>
    <col min="21" max="21" width="14.7142857142857" style="77" customWidth="1"/>
    <col min="22" max="22" width="11.2857142857143" style="77" customWidth="1"/>
    <col min="23" max="23" width="16.4285714285714" style="77" customWidth="1"/>
    <col min="24" max="24" width="16" style="77" customWidth="1"/>
    <col min="25" max="25" width="11.5714285714286" style="77" hidden="1" customWidth="1"/>
    <col min="26" max="26" width="14.5714285714286" style="77" hidden="1" customWidth="1"/>
    <col min="27" max="27" width="10.4285714285714" style="77" hidden="1" customWidth="1"/>
    <col min="28" max="28" width="14.8571428571429" style="77" hidden="1" customWidth="1"/>
    <col min="29" max="29" width="8.71428571428571" style="77" hidden="1" customWidth="1"/>
    <col min="30" max="30" width="13.1428571428571" style="77" hidden="1" customWidth="1"/>
    <col min="31" max="31" width="10" style="77" hidden="1" customWidth="1"/>
    <col min="32" max="32" width="14.4285714285714" style="77" hidden="1" customWidth="1"/>
    <col min="33" max="33" width="10.4285714285714" style="77" hidden="1" customWidth="1"/>
    <col min="34" max="34" width="14.4285714285714" style="77" hidden="1" customWidth="1"/>
    <col min="35" max="35" width="8.57142857142857" style="77" hidden="1" customWidth="1"/>
    <col min="36" max="36" width="13" style="77" hidden="1" customWidth="1"/>
    <col min="37" max="37" width="10.2857142857143" style="77" hidden="1" customWidth="1"/>
    <col min="38" max="38" width="15.2857142857143" style="77" hidden="1" customWidth="1"/>
    <col min="39" max="39" width="7.85714285714286" style="77" hidden="1" customWidth="1"/>
    <col min="40" max="40" width="15" style="77" hidden="1" customWidth="1"/>
    <col min="41" max="41" width="9.57142857142857" style="77" hidden="1" customWidth="1"/>
    <col min="42" max="42" width="15" style="77" hidden="1" customWidth="1"/>
    <col min="43" max="43" width="0.142857142857143" style="77" hidden="1" customWidth="1"/>
    <col min="44" max="44" width="13.4285714285714" style="77" hidden="1" customWidth="1"/>
    <col min="45" max="45" width="8.85714285714286" style="77" hidden="1" customWidth="1"/>
    <col min="46" max="46" width="14.2857142857143" style="77" hidden="1" customWidth="1"/>
    <col min="47" max="47" width="7.28571428571429" style="77" hidden="1" customWidth="1"/>
    <col min="48" max="48" width="13.1428571428571" style="77" hidden="1" customWidth="1"/>
    <col min="49" max="49" width="9.42857142857143" style="77" hidden="1" customWidth="1"/>
    <col min="50" max="50" width="13.2857142857143" style="77" hidden="1" customWidth="1"/>
    <col min="51" max="51" width="11.4285714285714" style="77" hidden="1" customWidth="1"/>
    <col min="52" max="52" width="16.7142857142857" style="77" hidden="1" customWidth="1"/>
    <col min="53" max="53" width="17.8571428571429" style="77" hidden="1" customWidth="1"/>
    <col min="54" max="54" width="12.8571428571429" style="77" hidden="1" customWidth="1"/>
    <col min="55" max="55" width="9.14285714285714" style="77" hidden="1" customWidth="1"/>
    <col min="56" max="56" width="13.1428571428571" style="77" hidden="1" customWidth="1"/>
    <col min="57" max="57" width="13.1428571428571" style="77" customWidth="1"/>
    <col min="58" max="58" width="19" style="77" customWidth="1"/>
    <col min="59" max="59" width="16.5714285714286" style="77" customWidth="1"/>
    <col min="60" max="60" width="15.1428571428571" style="77" customWidth="1"/>
    <col min="61" max="61" width="17.2857142857143" style="77" customWidth="1"/>
    <col min="62" max="16384" width="9.14285714285714" style="77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301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302</v>
      </c>
      <c r="C3" s="2"/>
      <c r="D3" s="2"/>
      <c r="E3" s="5"/>
      <c r="F3" s="5"/>
      <c r="G3" s="1"/>
      <c r="H3" s="1"/>
      <c r="I3" s="1"/>
      <c r="J3" s="1"/>
      <c r="K3" s="42" t="s">
        <v>337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8" t="s">
        <v>5</v>
      </c>
      <c r="B5" s="79" t="s">
        <v>6</v>
      </c>
      <c r="C5" s="79" t="s">
        <v>7</v>
      </c>
      <c r="D5" s="79" t="s">
        <v>8</v>
      </c>
      <c r="E5" s="79" t="s">
        <v>9</v>
      </c>
      <c r="F5" s="79"/>
      <c r="G5" s="79"/>
      <c r="H5" s="79"/>
      <c r="I5" s="79" t="s">
        <v>10</v>
      </c>
      <c r="J5" s="79"/>
      <c r="K5" s="79"/>
      <c r="L5" s="79"/>
      <c r="M5" s="79"/>
      <c r="N5" s="79"/>
      <c r="O5" s="79"/>
      <c r="P5" s="79" t="s">
        <v>11</v>
      </c>
      <c r="Q5" s="79"/>
      <c r="R5" s="79"/>
      <c r="S5" s="79"/>
      <c r="T5" s="79"/>
      <c r="U5" s="79"/>
      <c r="V5" s="115" t="s">
        <v>12</v>
      </c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31"/>
      <c r="BH5" s="79" t="s">
        <v>13</v>
      </c>
      <c r="BI5" s="79" t="s">
        <v>14</v>
      </c>
    </row>
    <row r="6" ht="97.5" customHeight="1" spans="1:61">
      <c r="A6" s="80"/>
      <c r="B6" s="79"/>
      <c r="C6" s="79"/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9" t="s">
        <v>20</v>
      </c>
      <c r="J6" s="79" t="s">
        <v>21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17" t="s">
        <v>22</v>
      </c>
      <c r="W6" s="118"/>
      <c r="X6" s="119" t="s">
        <v>23</v>
      </c>
      <c r="Y6" s="79" t="s">
        <v>24</v>
      </c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 t="s">
        <v>25</v>
      </c>
      <c r="AN6" s="79"/>
      <c r="AO6" s="79"/>
      <c r="AP6" s="79"/>
      <c r="AQ6" s="79" t="s">
        <v>26</v>
      </c>
      <c r="AR6" s="79"/>
      <c r="AS6" s="117" t="s">
        <v>27</v>
      </c>
      <c r="AT6" s="118"/>
      <c r="AU6" s="117" t="s">
        <v>28</v>
      </c>
      <c r="AV6" s="118"/>
      <c r="AW6" s="117" t="s">
        <v>29</v>
      </c>
      <c r="AX6" s="118"/>
      <c r="AY6" s="79" t="s">
        <v>30</v>
      </c>
      <c r="AZ6" s="79"/>
      <c r="BA6" s="79" t="s">
        <v>31</v>
      </c>
      <c r="BB6" s="79"/>
      <c r="BC6" s="79" t="s">
        <v>32</v>
      </c>
      <c r="BD6" s="79"/>
      <c r="BE6" s="117" t="s">
        <v>338</v>
      </c>
      <c r="BF6" s="118"/>
      <c r="BG6" s="79" t="s">
        <v>34</v>
      </c>
      <c r="BH6" s="79"/>
      <c r="BI6" s="79"/>
    </row>
    <row r="7" ht="157.5" spans="1:61">
      <c r="A7" s="81"/>
      <c r="B7" s="79"/>
      <c r="C7" s="79"/>
      <c r="D7" s="79"/>
      <c r="E7" s="79"/>
      <c r="F7" s="79"/>
      <c r="G7" s="79"/>
      <c r="H7" s="79"/>
      <c r="I7" s="79"/>
      <c r="J7" s="79" t="s">
        <v>35</v>
      </c>
      <c r="K7" s="79" t="s">
        <v>36</v>
      </c>
      <c r="L7" s="104" t="s">
        <v>37</v>
      </c>
      <c r="M7" s="104" t="s">
        <v>38</v>
      </c>
      <c r="N7" s="104" t="s">
        <v>39</v>
      </c>
      <c r="O7" s="79" t="s">
        <v>40</v>
      </c>
      <c r="P7" s="79" t="s">
        <v>35</v>
      </c>
      <c r="Q7" s="79" t="s">
        <v>36</v>
      </c>
      <c r="R7" s="79" t="s">
        <v>37</v>
      </c>
      <c r="S7" s="79" t="s">
        <v>38</v>
      </c>
      <c r="T7" s="79" t="s">
        <v>39</v>
      </c>
      <c r="U7" s="79" t="s">
        <v>41</v>
      </c>
      <c r="V7" s="79" t="s">
        <v>42</v>
      </c>
      <c r="W7" s="120" t="s">
        <v>43</v>
      </c>
      <c r="X7" s="119"/>
      <c r="Y7" s="79" t="s">
        <v>44</v>
      </c>
      <c r="Z7" s="79" t="s">
        <v>45</v>
      </c>
      <c r="AA7" s="79" t="s">
        <v>44</v>
      </c>
      <c r="AB7" s="79" t="s">
        <v>46</v>
      </c>
      <c r="AC7" s="79" t="s">
        <v>44</v>
      </c>
      <c r="AD7" s="79" t="s">
        <v>47</v>
      </c>
      <c r="AE7" s="79" t="s">
        <v>44</v>
      </c>
      <c r="AF7" s="79" t="s">
        <v>37</v>
      </c>
      <c r="AG7" s="79" t="s">
        <v>44</v>
      </c>
      <c r="AH7" s="79" t="s">
        <v>48</v>
      </c>
      <c r="AI7" s="79" t="s">
        <v>44</v>
      </c>
      <c r="AJ7" s="79" t="s">
        <v>39</v>
      </c>
      <c r="AK7" s="125" t="s">
        <v>49</v>
      </c>
      <c r="AL7" s="79" t="s">
        <v>50</v>
      </c>
      <c r="AM7" s="79" t="s">
        <v>51</v>
      </c>
      <c r="AN7" s="79" t="s">
        <v>52</v>
      </c>
      <c r="AO7" s="79" t="s">
        <v>51</v>
      </c>
      <c r="AP7" s="129" t="s">
        <v>53</v>
      </c>
      <c r="AQ7" s="79" t="s">
        <v>51</v>
      </c>
      <c r="AR7" s="79" t="s">
        <v>43</v>
      </c>
      <c r="AS7" s="79" t="s">
        <v>54</v>
      </c>
      <c r="AT7" s="79" t="s">
        <v>43</v>
      </c>
      <c r="AU7" s="79" t="s">
        <v>54</v>
      </c>
      <c r="AV7" s="79" t="s">
        <v>43</v>
      </c>
      <c r="AW7" s="79" t="s">
        <v>54</v>
      </c>
      <c r="AX7" s="79" t="s">
        <v>43</v>
      </c>
      <c r="AY7" s="79" t="s">
        <v>51</v>
      </c>
      <c r="AZ7" s="79" t="s">
        <v>43</v>
      </c>
      <c r="BA7" s="79" t="s">
        <v>55</v>
      </c>
      <c r="BB7" s="79" t="s">
        <v>43</v>
      </c>
      <c r="BC7" s="79" t="s">
        <v>42</v>
      </c>
      <c r="BD7" s="79" t="s">
        <v>43</v>
      </c>
      <c r="BE7" s="132" t="s">
        <v>339</v>
      </c>
      <c r="BF7" s="79" t="s">
        <v>43</v>
      </c>
      <c r="BG7" s="79"/>
      <c r="BH7" s="79"/>
      <c r="BI7" s="79"/>
    </row>
    <row r="8" ht="15.75" spans="1:61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79">
        <v>29</v>
      </c>
      <c r="AD8" s="79">
        <v>30</v>
      </c>
      <c r="AE8" s="79">
        <v>31</v>
      </c>
      <c r="AF8" s="79">
        <v>32</v>
      </c>
      <c r="AG8" s="79">
        <v>33</v>
      </c>
      <c r="AH8" s="79">
        <v>34</v>
      </c>
      <c r="AI8" s="79">
        <v>35</v>
      </c>
      <c r="AJ8" s="79">
        <v>36</v>
      </c>
      <c r="AK8" s="79">
        <v>37</v>
      </c>
      <c r="AL8" s="79">
        <v>38</v>
      </c>
      <c r="AM8" s="79">
        <v>39</v>
      </c>
      <c r="AN8" s="79">
        <v>40</v>
      </c>
      <c r="AO8" s="79">
        <v>41</v>
      </c>
      <c r="AP8" s="79">
        <v>42</v>
      </c>
      <c r="AQ8" s="79">
        <v>43</v>
      </c>
      <c r="AR8" s="79">
        <v>44</v>
      </c>
      <c r="AS8" s="79">
        <v>45</v>
      </c>
      <c r="AT8" s="79">
        <v>46</v>
      </c>
      <c r="AU8" s="79">
        <v>47</v>
      </c>
      <c r="AV8" s="79">
        <v>48</v>
      </c>
      <c r="AW8" s="79">
        <v>49</v>
      </c>
      <c r="AX8" s="79">
        <v>50</v>
      </c>
      <c r="AY8" s="79">
        <v>51</v>
      </c>
      <c r="AZ8" s="79">
        <v>52</v>
      </c>
      <c r="BA8" s="79">
        <v>53</v>
      </c>
      <c r="BB8" s="79">
        <v>54</v>
      </c>
      <c r="BC8" s="79">
        <v>55</v>
      </c>
      <c r="BD8" s="79">
        <v>56</v>
      </c>
      <c r="BE8" s="79"/>
      <c r="BF8" s="79">
        <v>57</v>
      </c>
      <c r="BG8" s="79">
        <v>58</v>
      </c>
      <c r="BH8" s="79">
        <v>59</v>
      </c>
      <c r="BI8" s="79">
        <v>60</v>
      </c>
    </row>
    <row r="9" ht="18.75" customHeight="1" spans="1:61">
      <c r="A9" s="140">
        <v>1</v>
      </c>
      <c r="B9" s="164" t="s">
        <v>88</v>
      </c>
      <c r="C9" s="164" t="s">
        <v>89</v>
      </c>
      <c r="D9" s="164" t="s">
        <v>59</v>
      </c>
      <c r="E9" s="136" t="s">
        <v>78</v>
      </c>
      <c r="F9" s="165">
        <v>2</v>
      </c>
      <c r="G9" s="86">
        <v>17.1</v>
      </c>
      <c r="H9" s="139">
        <v>5.03</v>
      </c>
      <c r="I9" s="105">
        <f>ROUND((((J9+K9))/24)+(L9+M9+N9)/18,2)</f>
        <v>1</v>
      </c>
      <c r="J9" s="166"/>
      <c r="K9" s="166"/>
      <c r="L9" s="167"/>
      <c r="M9" s="167">
        <v>15</v>
      </c>
      <c r="N9" s="167">
        <v>3</v>
      </c>
      <c r="O9" s="150">
        <f>SUM(J9:N9)</f>
        <v>18</v>
      </c>
      <c r="P9" s="110">
        <f>SUM(($H$4*H9)/24)*J9</f>
        <v>0</v>
      </c>
      <c r="Q9" s="121">
        <f>SUM(($H$4*H9)/24)*K9</f>
        <v>0</v>
      </c>
      <c r="R9" s="121">
        <f>($H$4*H9)/18*L9</f>
        <v>0</v>
      </c>
      <c r="S9" s="121">
        <f>($H$4*H9)*M9/18</f>
        <v>74179.925</v>
      </c>
      <c r="T9" s="121">
        <f>($H$4*H9)/18*N9</f>
        <v>14835.985</v>
      </c>
      <c r="U9" s="121">
        <f>SUM(P9:T9)</f>
        <v>89015.91</v>
      </c>
      <c r="V9" s="122"/>
      <c r="W9" s="121">
        <f>(U9*V9)/100</f>
        <v>0</v>
      </c>
      <c r="X9" s="121">
        <f>SUM(U9,W9)</f>
        <v>89015.91</v>
      </c>
      <c r="Y9" s="122"/>
      <c r="Z9" s="121">
        <f>($H$4*0.25)*Y9/18</f>
        <v>0</v>
      </c>
      <c r="AA9" s="123"/>
      <c r="AB9" s="93">
        <f>SUM(($H$4*0.25)/18)*AA9</f>
        <v>0</v>
      </c>
      <c r="AC9" s="110"/>
      <c r="AD9" s="110">
        <f>SUM(($H$4*0.25)/18*AC9)</f>
        <v>0</v>
      </c>
      <c r="AE9" s="122"/>
      <c r="AF9" s="93">
        <f>SUM(($H$4*0.2)/18)*AE9</f>
        <v>0</v>
      </c>
      <c r="AG9" s="122"/>
      <c r="AH9" s="126">
        <f>SUM(($H$4*0.2)/18)*AG9</f>
        <v>0</v>
      </c>
      <c r="AI9" s="122"/>
      <c r="AJ9" s="127">
        <f>SUM(($H$4*0.2)/18)*AI9</f>
        <v>0</v>
      </c>
      <c r="AK9" s="95">
        <f>SUM(Y9,AA9,AC9,AE9,AG9,AI9)</f>
        <v>0</v>
      </c>
      <c r="AL9" s="93">
        <f>SUM(Z9,AB9,AD9,AF9,AH9,AJ9)</f>
        <v>0</v>
      </c>
      <c r="AM9" s="128"/>
      <c r="AN9" s="110">
        <f>SUM($H$4*0.25)*AM9</f>
        <v>0</v>
      </c>
      <c r="AO9" s="123"/>
      <c r="AP9" s="130">
        <f>SUM($H$4*0.3)*AO9</f>
        <v>0</v>
      </c>
      <c r="AQ9" s="110"/>
      <c r="AR9" s="110">
        <f>SUM($H$4*0.2*AQ9)</f>
        <v>0</v>
      </c>
      <c r="AS9" s="122"/>
      <c r="AT9" s="110">
        <f>SUM($H$4*$H9*AS9/18)</f>
        <v>0</v>
      </c>
      <c r="AU9" s="122"/>
      <c r="AV9" s="110">
        <f>SUM($H$4*$H9*AU9/18)*0.7</f>
        <v>0</v>
      </c>
      <c r="AW9" s="128"/>
      <c r="AX9" s="110">
        <f>SUM($H$4*$H9*AW9/18)*0.3</f>
        <v>0</v>
      </c>
      <c r="AY9" s="122"/>
      <c r="AZ9" s="126">
        <f>SUM(($H$4*0.25)/18)*AY9</f>
        <v>0</v>
      </c>
      <c r="BA9" s="110"/>
      <c r="BB9" s="110">
        <f>SUM($H$4*0.2)*BA9</f>
        <v>0</v>
      </c>
      <c r="BC9" s="110"/>
      <c r="BD9" s="126">
        <f>((($H$4*BC9)/100)*20)/100</f>
        <v>0</v>
      </c>
      <c r="BE9" s="130">
        <f>SUM(O9)</f>
        <v>18</v>
      </c>
      <c r="BF9" s="110">
        <f>SUM(H4*200%)</f>
        <v>35394</v>
      </c>
      <c r="BG9" s="168">
        <f>AL9+AN9+AP9+AT9+AV9+AX9+AZ9+BB9+BD9+BF9+AR9</f>
        <v>35394</v>
      </c>
      <c r="BH9" s="121">
        <f>BG9</f>
        <v>35394</v>
      </c>
      <c r="BI9" s="169">
        <f>BH9*12</f>
        <v>424728</v>
      </c>
    </row>
    <row r="10" ht="18.75" customHeight="1" spans="1:61">
      <c r="A10" s="147"/>
      <c r="B10" s="88" t="s">
        <v>99</v>
      </c>
      <c r="C10" s="127"/>
      <c r="D10" s="127"/>
      <c r="E10" s="141"/>
      <c r="F10" s="142"/>
      <c r="G10" s="134"/>
      <c r="H10" s="93"/>
      <c r="I10" s="88">
        <f t="shared" ref="I10:BH10" si="0">SUM(I9:I9)</f>
        <v>1</v>
      </c>
      <c r="J10" s="88">
        <f t="shared" si="0"/>
        <v>0</v>
      </c>
      <c r="K10" s="88">
        <f t="shared" si="0"/>
        <v>0</v>
      </c>
      <c r="L10" s="88">
        <f t="shared" si="0"/>
        <v>0</v>
      </c>
      <c r="M10" s="88">
        <f t="shared" si="0"/>
        <v>15</v>
      </c>
      <c r="N10" s="88">
        <f t="shared" si="0"/>
        <v>3</v>
      </c>
      <c r="O10" s="88">
        <f t="shared" si="0"/>
        <v>18</v>
      </c>
      <c r="P10" s="88">
        <f t="shared" si="0"/>
        <v>0</v>
      </c>
      <c r="Q10" s="88">
        <f t="shared" si="0"/>
        <v>0</v>
      </c>
      <c r="R10" s="88">
        <f t="shared" si="0"/>
        <v>0</v>
      </c>
      <c r="S10" s="88">
        <f t="shared" si="0"/>
        <v>74179.925</v>
      </c>
      <c r="T10" s="88">
        <f t="shared" si="0"/>
        <v>14835.985</v>
      </c>
      <c r="U10" s="88">
        <f t="shared" si="0"/>
        <v>89015.91</v>
      </c>
      <c r="V10" s="88">
        <f t="shared" si="0"/>
        <v>0</v>
      </c>
      <c r="W10" s="88">
        <f t="shared" si="0"/>
        <v>0</v>
      </c>
      <c r="X10" s="88">
        <f t="shared" si="0"/>
        <v>89015.91</v>
      </c>
      <c r="Y10" s="88">
        <f t="shared" si="0"/>
        <v>0</v>
      </c>
      <c r="Z10" s="88">
        <f t="shared" si="0"/>
        <v>0</v>
      </c>
      <c r="AA10" s="88">
        <f t="shared" si="0"/>
        <v>0</v>
      </c>
      <c r="AB10" s="88">
        <f t="shared" si="0"/>
        <v>0</v>
      </c>
      <c r="AC10" s="88">
        <f t="shared" si="0"/>
        <v>0</v>
      </c>
      <c r="AD10" s="88">
        <f t="shared" si="0"/>
        <v>0</v>
      </c>
      <c r="AE10" s="88">
        <f t="shared" si="0"/>
        <v>0</v>
      </c>
      <c r="AF10" s="88">
        <f t="shared" si="0"/>
        <v>0</v>
      </c>
      <c r="AG10" s="88">
        <f t="shared" si="0"/>
        <v>0</v>
      </c>
      <c r="AH10" s="88">
        <f t="shared" si="0"/>
        <v>0</v>
      </c>
      <c r="AI10" s="88">
        <f t="shared" si="0"/>
        <v>0</v>
      </c>
      <c r="AJ10" s="88">
        <f t="shared" si="0"/>
        <v>0</v>
      </c>
      <c r="AK10" s="88">
        <f t="shared" si="0"/>
        <v>0</v>
      </c>
      <c r="AL10" s="88">
        <f t="shared" si="0"/>
        <v>0</v>
      </c>
      <c r="AM10" s="88">
        <f t="shared" si="0"/>
        <v>0</v>
      </c>
      <c r="AN10" s="88">
        <f t="shared" si="0"/>
        <v>0</v>
      </c>
      <c r="AO10" s="88">
        <f t="shared" si="0"/>
        <v>0</v>
      </c>
      <c r="AP10" s="88">
        <f t="shared" si="0"/>
        <v>0</v>
      </c>
      <c r="AQ10" s="88">
        <f t="shared" si="0"/>
        <v>0</v>
      </c>
      <c r="AR10" s="88">
        <f t="shared" si="0"/>
        <v>0</v>
      </c>
      <c r="AS10" s="88">
        <f t="shared" si="0"/>
        <v>0</v>
      </c>
      <c r="AT10" s="88">
        <f t="shared" si="0"/>
        <v>0</v>
      </c>
      <c r="AU10" s="88">
        <f t="shared" si="0"/>
        <v>0</v>
      </c>
      <c r="AV10" s="88">
        <f t="shared" si="0"/>
        <v>0</v>
      </c>
      <c r="AW10" s="88">
        <f t="shared" si="0"/>
        <v>0</v>
      </c>
      <c r="AX10" s="88">
        <f t="shared" si="0"/>
        <v>0</v>
      </c>
      <c r="AY10" s="88">
        <f t="shared" si="0"/>
        <v>0</v>
      </c>
      <c r="AZ10" s="88">
        <f t="shared" si="0"/>
        <v>0</v>
      </c>
      <c r="BA10" s="88">
        <f t="shared" si="0"/>
        <v>0</v>
      </c>
      <c r="BB10" s="88">
        <f t="shared" si="0"/>
        <v>0</v>
      </c>
      <c r="BC10" s="88">
        <f t="shared" si="0"/>
        <v>0</v>
      </c>
      <c r="BD10" s="88">
        <f t="shared" si="0"/>
        <v>0</v>
      </c>
      <c r="BE10" s="88">
        <f t="shared" si="0"/>
        <v>18</v>
      </c>
      <c r="BF10" s="88">
        <f t="shared" si="0"/>
        <v>35394</v>
      </c>
      <c r="BG10" s="88">
        <f t="shared" si="0"/>
        <v>35394</v>
      </c>
      <c r="BH10" s="88">
        <f t="shared" si="0"/>
        <v>35394</v>
      </c>
      <c r="BI10" s="169">
        <f>BH10*12</f>
        <v>424728</v>
      </c>
    </row>
    <row r="11" ht="20.1" customHeight="1" spans="1:61">
      <c r="A11" s="94"/>
      <c r="B11" s="95" t="s">
        <v>142</v>
      </c>
      <c r="C11" s="95"/>
      <c r="D11" s="95"/>
      <c r="E11" s="95"/>
      <c r="F11" s="96"/>
      <c r="G11" s="95"/>
      <c r="H11" s="93"/>
      <c r="I11" s="88">
        <f>SUM(I10)</f>
        <v>1</v>
      </c>
      <c r="J11" s="88">
        <f t="shared" ref="J11:BH11" si="1">SUM(J10)</f>
        <v>0</v>
      </c>
      <c r="K11" s="88">
        <f t="shared" si="1"/>
        <v>0</v>
      </c>
      <c r="L11" s="88">
        <f t="shared" si="1"/>
        <v>0</v>
      </c>
      <c r="M11" s="88">
        <f t="shared" si="1"/>
        <v>15</v>
      </c>
      <c r="N11" s="88">
        <f t="shared" si="1"/>
        <v>3</v>
      </c>
      <c r="O11" s="88">
        <f t="shared" si="1"/>
        <v>18</v>
      </c>
      <c r="P11" s="88">
        <f t="shared" si="1"/>
        <v>0</v>
      </c>
      <c r="Q11" s="88">
        <f t="shared" si="1"/>
        <v>0</v>
      </c>
      <c r="R11" s="88">
        <f t="shared" si="1"/>
        <v>0</v>
      </c>
      <c r="S11" s="88">
        <f t="shared" si="1"/>
        <v>74179.925</v>
      </c>
      <c r="T11" s="88">
        <f t="shared" si="1"/>
        <v>14835.985</v>
      </c>
      <c r="U11" s="88">
        <f t="shared" si="1"/>
        <v>89015.91</v>
      </c>
      <c r="V11" s="88">
        <f t="shared" si="1"/>
        <v>0</v>
      </c>
      <c r="W11" s="88">
        <f t="shared" si="1"/>
        <v>0</v>
      </c>
      <c r="X11" s="88">
        <f t="shared" si="1"/>
        <v>89015.91</v>
      </c>
      <c r="Y11" s="88">
        <f t="shared" si="1"/>
        <v>0</v>
      </c>
      <c r="Z11" s="88">
        <f t="shared" si="1"/>
        <v>0</v>
      </c>
      <c r="AA11" s="88">
        <f t="shared" si="1"/>
        <v>0</v>
      </c>
      <c r="AB11" s="88">
        <f t="shared" si="1"/>
        <v>0</v>
      </c>
      <c r="AC11" s="88">
        <f t="shared" si="1"/>
        <v>0</v>
      </c>
      <c r="AD11" s="88">
        <f t="shared" si="1"/>
        <v>0</v>
      </c>
      <c r="AE11" s="88">
        <f t="shared" si="1"/>
        <v>0</v>
      </c>
      <c r="AF11" s="88">
        <f t="shared" si="1"/>
        <v>0</v>
      </c>
      <c r="AG11" s="88">
        <f t="shared" si="1"/>
        <v>0</v>
      </c>
      <c r="AH11" s="88">
        <f t="shared" si="1"/>
        <v>0</v>
      </c>
      <c r="AI11" s="88">
        <f t="shared" si="1"/>
        <v>0</v>
      </c>
      <c r="AJ11" s="88">
        <f t="shared" si="1"/>
        <v>0</v>
      </c>
      <c r="AK11" s="88">
        <f t="shared" si="1"/>
        <v>0</v>
      </c>
      <c r="AL11" s="88">
        <f t="shared" si="1"/>
        <v>0</v>
      </c>
      <c r="AM11" s="88">
        <f t="shared" si="1"/>
        <v>0</v>
      </c>
      <c r="AN11" s="88">
        <f t="shared" si="1"/>
        <v>0</v>
      </c>
      <c r="AO11" s="88">
        <f t="shared" si="1"/>
        <v>0</v>
      </c>
      <c r="AP11" s="88">
        <f t="shared" si="1"/>
        <v>0</v>
      </c>
      <c r="AQ11" s="88">
        <f t="shared" si="1"/>
        <v>0</v>
      </c>
      <c r="AR11" s="88">
        <f t="shared" si="1"/>
        <v>0</v>
      </c>
      <c r="AS11" s="88">
        <f t="shared" si="1"/>
        <v>0</v>
      </c>
      <c r="AT11" s="88">
        <f t="shared" si="1"/>
        <v>0</v>
      </c>
      <c r="AU11" s="88">
        <f t="shared" si="1"/>
        <v>0</v>
      </c>
      <c r="AV11" s="88">
        <f t="shared" si="1"/>
        <v>0</v>
      </c>
      <c r="AW11" s="88">
        <f t="shared" si="1"/>
        <v>0</v>
      </c>
      <c r="AX11" s="88">
        <f t="shared" si="1"/>
        <v>0</v>
      </c>
      <c r="AY11" s="88">
        <f t="shared" si="1"/>
        <v>0</v>
      </c>
      <c r="AZ11" s="88">
        <f t="shared" si="1"/>
        <v>0</v>
      </c>
      <c r="BA11" s="88">
        <f t="shared" si="1"/>
        <v>0</v>
      </c>
      <c r="BB11" s="88">
        <f t="shared" si="1"/>
        <v>0</v>
      </c>
      <c r="BC11" s="88">
        <f t="shared" si="1"/>
        <v>0</v>
      </c>
      <c r="BD11" s="88">
        <f t="shared" si="1"/>
        <v>0</v>
      </c>
      <c r="BE11" s="88">
        <f t="shared" si="1"/>
        <v>18</v>
      </c>
      <c r="BF11" s="88">
        <f t="shared" si="1"/>
        <v>35394</v>
      </c>
      <c r="BG11" s="88">
        <f t="shared" si="1"/>
        <v>35394</v>
      </c>
      <c r="BH11" s="88">
        <f t="shared" si="1"/>
        <v>35394</v>
      </c>
      <c r="BI11" s="169">
        <f>BH11*12</f>
        <v>424728</v>
      </c>
    </row>
    <row r="12" ht="15.75" spans="1:61">
      <c r="A12" s="97"/>
      <c r="B12" s="98"/>
      <c r="C12" s="98"/>
      <c r="D12" s="98"/>
      <c r="E12" s="98"/>
      <c r="F12" s="99"/>
      <c r="G12" s="98"/>
      <c r="H12" s="98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69">
        <f>BH12*4</f>
        <v>0</v>
      </c>
    </row>
    <row r="13" ht="15.75" spans="1:61">
      <c r="A13" s="98"/>
      <c r="B13" s="100"/>
      <c r="C13" s="101" t="s">
        <v>340</v>
      </c>
      <c r="D13" s="101"/>
      <c r="E13" s="101" t="s">
        <v>298</v>
      </c>
      <c r="F13" s="102"/>
      <c r="G13" s="103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54"/>
      <c r="T13" s="101" t="s">
        <v>143</v>
      </c>
      <c r="U13" s="101"/>
      <c r="V13" s="54"/>
      <c r="W13" s="103"/>
      <c r="X13" s="103" t="s">
        <v>144</v>
      </c>
      <c r="Y13" s="103" t="s">
        <v>341</v>
      </c>
      <c r="Z13" s="54"/>
      <c r="AA13" s="54"/>
      <c r="AB13" s="54"/>
      <c r="AC13" s="54"/>
      <c r="AD13" s="54"/>
      <c r="AE13" s="124"/>
      <c r="AF13" s="54"/>
      <c r="AG13" s="124"/>
      <c r="AH13" s="54"/>
      <c r="AI13" s="12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ht="15.75" spans="1:61">
      <c r="A14" s="98"/>
      <c r="B14" s="54"/>
      <c r="C14" s="101"/>
      <c r="D14" s="101"/>
      <c r="E14" s="101"/>
      <c r="F14" s="102"/>
      <c r="G14" s="103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54"/>
      <c r="T14" s="101"/>
      <c r="U14" s="101" t="s">
        <v>331</v>
      </c>
      <c r="V14" s="54"/>
      <c r="W14" s="103"/>
      <c r="X14" s="103"/>
      <c r="Y14" s="10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ht="15.75" spans="1:61">
      <c r="A15" s="54"/>
      <c r="B15" s="54"/>
      <c r="C15" s="103" t="s">
        <v>149</v>
      </c>
      <c r="D15" s="103"/>
      <c r="E15" s="101" t="s">
        <v>150</v>
      </c>
      <c r="F15" s="102"/>
      <c r="G15" s="103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54"/>
      <c r="T15" s="101" t="s">
        <v>342</v>
      </c>
      <c r="U15" s="101"/>
      <c r="V15" s="54"/>
      <c r="W15" s="103"/>
      <c r="X15" s="103" t="s">
        <v>148</v>
      </c>
      <c r="Y15" s="103" t="s">
        <v>343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ht="15.75" spans="1:61">
      <c r="A16" s="54"/>
      <c r="B16" s="54"/>
      <c r="C16" s="103"/>
      <c r="D16" s="103"/>
      <c r="E16" s="101"/>
      <c r="F16" s="102"/>
      <c r="G16" s="103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54"/>
      <c r="T16" s="101"/>
      <c r="U16" s="101"/>
      <c r="V16" s="54"/>
      <c r="W16" s="103"/>
      <c r="X16" s="103"/>
      <c r="Y16" s="103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</row>
    <row r="17" ht="15.75" spans="1:61">
      <c r="A17" s="54"/>
      <c r="B17" s="54"/>
      <c r="C17" s="103"/>
      <c r="D17" s="103"/>
      <c r="E17" s="101"/>
      <c r="F17" s="102"/>
      <c r="G17" s="103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54"/>
      <c r="T17" s="101" t="s">
        <v>220</v>
      </c>
      <c r="U17" s="101"/>
      <c r="V17" s="54"/>
      <c r="W17" s="103"/>
      <c r="X17" s="103" t="s">
        <v>344</v>
      </c>
      <c r="Y17" s="103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</row>
    <row r="18" ht="15.75" spans="1:61">
      <c r="A18" s="54"/>
      <c r="B18" s="54"/>
      <c r="C18" s="103"/>
      <c r="D18" s="103"/>
      <c r="E18" s="103"/>
      <c r="F18" s="103"/>
      <c r="G18" s="103"/>
      <c r="H18" s="103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54"/>
      <c r="T18" s="101"/>
      <c r="U18" s="101"/>
      <c r="V18" s="54"/>
      <c r="W18" s="103"/>
      <c r="X18" s="103"/>
      <c r="Y18" s="103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</row>
    <row r="19" ht="15.75" spans="1:61">
      <c r="A19" s="54"/>
      <c r="B19" s="54"/>
      <c r="C19" s="103" t="s">
        <v>153</v>
      </c>
      <c r="D19" s="103"/>
      <c r="E19" s="101" t="s">
        <v>345</v>
      </c>
      <c r="F19" s="101"/>
      <c r="G19" s="103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54"/>
      <c r="T19" s="101" t="s">
        <v>151</v>
      </c>
      <c r="U19" s="101"/>
      <c r="V19" s="54"/>
      <c r="W19" s="103"/>
      <c r="X19" s="103" t="s">
        <v>152</v>
      </c>
      <c r="Y19" s="103" t="s">
        <v>152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</row>
    <row r="20" ht="15.75" spans="1:61">
      <c r="A20" s="5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ht="15.75" spans="1:61">
      <c r="A21" s="5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ht="15.75" spans="1:6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ht="15.75" spans="1:1">
      <c r="A23" s="1"/>
    </row>
    <row r="24" ht="15.75" spans="1:1">
      <c r="A24" s="1"/>
    </row>
  </sheetData>
  <mergeCells count="3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19:U19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63" fitToWidth="2" orientation="landscape"/>
  <headerFooter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I53"/>
  <sheetViews>
    <sheetView view="pageBreakPreview" zoomScale="60" zoomScaleNormal="80" workbookViewId="0">
      <pane xSplit="15" ySplit="7" topLeftCell="P31" activePane="bottomRight" state="frozen"/>
      <selection/>
      <selection pane="topRight"/>
      <selection pane="bottomLeft"/>
      <selection pane="bottomRight" activeCell="P43" sqref="P43"/>
    </sheetView>
  </sheetViews>
  <sheetFormatPr defaultColWidth="9.14285714285714" defaultRowHeight="15"/>
  <cols>
    <col min="1" max="1" width="4.42857142857143" style="77" customWidth="1"/>
    <col min="2" max="2" width="45" style="77" customWidth="1"/>
    <col min="3" max="3" width="26.1428571428571" style="77" customWidth="1"/>
    <col min="4" max="4" width="15" style="77" customWidth="1"/>
    <col min="5" max="5" width="9.85714285714286" style="77" customWidth="1"/>
    <col min="6" max="6" width="13.4285714285714" style="77" customWidth="1"/>
    <col min="7" max="7" width="15.1428571428571" style="77" customWidth="1"/>
    <col min="8" max="8" width="10.2857142857143" style="77" customWidth="1"/>
    <col min="9" max="9" width="10.8571428571429" style="77" customWidth="1"/>
    <col min="10" max="13" width="9.14285714285714" style="77"/>
    <col min="14" max="14" width="11" style="77" customWidth="1"/>
    <col min="15" max="15" width="9.14285714285714" style="77"/>
    <col min="16" max="16" width="10.8571428571429" style="77" customWidth="1"/>
    <col min="17" max="17" width="13.2857142857143" style="77" customWidth="1"/>
    <col min="18" max="20" width="15.2857142857143" style="77" customWidth="1"/>
    <col min="21" max="21" width="14.7142857142857" style="77" customWidth="1"/>
    <col min="22" max="22" width="11.2857142857143" style="77" customWidth="1"/>
    <col min="23" max="23" width="16.4285714285714" style="77" customWidth="1"/>
    <col min="24" max="24" width="16" style="77" customWidth="1"/>
    <col min="25" max="25" width="11.5714285714286" style="77" hidden="1" customWidth="1"/>
    <col min="26" max="26" width="14.5714285714286" style="77" hidden="1" customWidth="1"/>
    <col min="27" max="27" width="10.4285714285714" style="77" hidden="1" customWidth="1"/>
    <col min="28" max="28" width="14.8571428571429" style="77" hidden="1" customWidth="1"/>
    <col min="29" max="29" width="8.71428571428571" style="77" hidden="1" customWidth="1"/>
    <col min="30" max="30" width="13.1428571428571" style="77" hidden="1" customWidth="1"/>
    <col min="31" max="31" width="10" style="77" hidden="1" customWidth="1"/>
    <col min="32" max="32" width="14.4285714285714" style="77" hidden="1" customWidth="1"/>
    <col min="33" max="33" width="10.4285714285714" style="77" hidden="1" customWidth="1"/>
    <col min="34" max="34" width="14.4285714285714" style="77" hidden="1" customWidth="1"/>
    <col min="35" max="35" width="8.57142857142857" style="77" hidden="1" customWidth="1"/>
    <col min="36" max="36" width="13" style="77" hidden="1" customWidth="1"/>
    <col min="37" max="37" width="10.2857142857143" style="77" hidden="1" customWidth="1"/>
    <col min="38" max="38" width="15.2857142857143" style="77" hidden="1" customWidth="1"/>
    <col min="39" max="39" width="7.85714285714286" style="77" hidden="1" customWidth="1"/>
    <col min="40" max="40" width="15" style="77" hidden="1" customWidth="1"/>
    <col min="41" max="41" width="9.57142857142857" style="77" hidden="1" customWidth="1"/>
    <col min="42" max="42" width="15" style="77" hidden="1" customWidth="1"/>
    <col min="43" max="43" width="0.142857142857143" style="77" hidden="1" customWidth="1"/>
    <col min="44" max="44" width="13.4285714285714" style="77" hidden="1" customWidth="1"/>
    <col min="45" max="45" width="8.85714285714286" style="77" hidden="1" customWidth="1"/>
    <col min="46" max="46" width="14.2857142857143" style="77" hidden="1" customWidth="1"/>
    <col min="47" max="47" width="7.28571428571429" style="77" hidden="1" customWidth="1"/>
    <col min="48" max="48" width="13.1428571428571" style="77" hidden="1" customWidth="1"/>
    <col min="49" max="49" width="9.42857142857143" style="77" hidden="1" customWidth="1"/>
    <col min="50" max="50" width="13.2857142857143" style="77" hidden="1" customWidth="1"/>
    <col min="51" max="51" width="11.4285714285714" style="77" hidden="1" customWidth="1"/>
    <col min="52" max="52" width="16.7142857142857" style="77" hidden="1" customWidth="1"/>
    <col min="53" max="53" width="17.8571428571429" style="77" hidden="1" customWidth="1"/>
    <col min="54" max="54" width="12.8571428571429" style="77" hidden="1" customWidth="1"/>
    <col min="55" max="55" width="9.14285714285714" style="77" hidden="1" customWidth="1"/>
    <col min="56" max="56" width="13.1428571428571" style="77" hidden="1" customWidth="1"/>
    <col min="57" max="57" width="13.1428571428571" style="77" customWidth="1"/>
    <col min="58" max="58" width="19" style="77" customWidth="1"/>
    <col min="59" max="59" width="16.5714285714286" style="77" customWidth="1"/>
    <col min="60" max="60" width="12.2857142857143" style="77" customWidth="1"/>
    <col min="61" max="61" width="22.5714285714286" style="77" customWidth="1"/>
    <col min="62" max="16384" width="9.14285714285714" style="77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346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302</v>
      </c>
      <c r="C3" s="2"/>
      <c r="D3" s="2"/>
      <c r="E3" s="5"/>
      <c r="F3" s="5"/>
      <c r="G3" s="1"/>
      <c r="H3" s="1"/>
      <c r="I3" s="1"/>
      <c r="J3" s="1"/>
      <c r="K3" s="42" t="s">
        <v>347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8" t="s">
        <v>5</v>
      </c>
      <c r="B5" s="79" t="s">
        <v>6</v>
      </c>
      <c r="C5" s="79" t="s">
        <v>7</v>
      </c>
      <c r="D5" s="79" t="s">
        <v>8</v>
      </c>
      <c r="E5" s="79" t="s">
        <v>9</v>
      </c>
      <c r="F5" s="79"/>
      <c r="G5" s="79"/>
      <c r="H5" s="79"/>
      <c r="I5" s="79" t="s">
        <v>10</v>
      </c>
      <c r="J5" s="79"/>
      <c r="K5" s="79"/>
      <c r="L5" s="79"/>
      <c r="M5" s="79"/>
      <c r="N5" s="79"/>
      <c r="O5" s="79"/>
      <c r="P5" s="79" t="s">
        <v>11</v>
      </c>
      <c r="Q5" s="79"/>
      <c r="R5" s="79"/>
      <c r="S5" s="79"/>
      <c r="T5" s="79"/>
      <c r="U5" s="79"/>
      <c r="V5" s="115" t="s">
        <v>12</v>
      </c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31"/>
      <c r="BH5" s="79" t="s">
        <v>13</v>
      </c>
      <c r="BI5" s="79" t="s">
        <v>14</v>
      </c>
    </row>
    <row r="6" ht="97.5" customHeight="1" spans="1:61">
      <c r="A6" s="80"/>
      <c r="B6" s="79"/>
      <c r="C6" s="79"/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9" t="s">
        <v>20</v>
      </c>
      <c r="J6" s="79" t="s">
        <v>21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17" t="s">
        <v>22</v>
      </c>
      <c r="W6" s="118"/>
      <c r="X6" s="119" t="s">
        <v>304</v>
      </c>
      <c r="Y6" s="79" t="s">
        <v>24</v>
      </c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 t="s">
        <v>25</v>
      </c>
      <c r="AN6" s="79"/>
      <c r="AO6" s="79"/>
      <c r="AP6" s="79"/>
      <c r="AQ6" s="79" t="s">
        <v>26</v>
      </c>
      <c r="AR6" s="79"/>
      <c r="AS6" s="117" t="s">
        <v>27</v>
      </c>
      <c r="AT6" s="118"/>
      <c r="AU6" s="117" t="s">
        <v>28</v>
      </c>
      <c r="AV6" s="118"/>
      <c r="AW6" s="117" t="s">
        <v>29</v>
      </c>
      <c r="AX6" s="118"/>
      <c r="AY6" s="79" t="s">
        <v>30</v>
      </c>
      <c r="AZ6" s="79"/>
      <c r="BA6" s="79" t="s">
        <v>31</v>
      </c>
      <c r="BB6" s="79"/>
      <c r="BC6" s="79" t="s">
        <v>32</v>
      </c>
      <c r="BD6" s="79"/>
      <c r="BE6" s="117" t="s">
        <v>348</v>
      </c>
      <c r="BF6" s="118"/>
      <c r="BG6" s="79" t="s">
        <v>34</v>
      </c>
      <c r="BH6" s="79"/>
      <c r="BI6" s="79"/>
    </row>
    <row r="7" ht="157.5" spans="1:61">
      <c r="A7" s="81"/>
      <c r="B7" s="79"/>
      <c r="C7" s="79"/>
      <c r="D7" s="79"/>
      <c r="E7" s="79"/>
      <c r="F7" s="79"/>
      <c r="G7" s="79"/>
      <c r="H7" s="79"/>
      <c r="I7" s="79"/>
      <c r="J7" s="79" t="s">
        <v>35</v>
      </c>
      <c r="K7" s="79" t="s">
        <v>36</v>
      </c>
      <c r="L7" s="104" t="s">
        <v>37</v>
      </c>
      <c r="M7" s="104" t="s">
        <v>38</v>
      </c>
      <c r="N7" s="104" t="s">
        <v>39</v>
      </c>
      <c r="O7" s="79" t="s">
        <v>40</v>
      </c>
      <c r="P7" s="79" t="s">
        <v>35</v>
      </c>
      <c r="Q7" s="79" t="s">
        <v>36</v>
      </c>
      <c r="R7" s="79" t="s">
        <v>37</v>
      </c>
      <c r="S7" s="79" t="s">
        <v>38</v>
      </c>
      <c r="T7" s="79" t="s">
        <v>39</v>
      </c>
      <c r="U7" s="79" t="s">
        <v>41</v>
      </c>
      <c r="V7" s="79" t="s">
        <v>42</v>
      </c>
      <c r="W7" s="120" t="s">
        <v>43</v>
      </c>
      <c r="X7" s="119"/>
      <c r="Y7" s="79" t="s">
        <v>44</v>
      </c>
      <c r="Z7" s="79" t="s">
        <v>45</v>
      </c>
      <c r="AA7" s="79" t="s">
        <v>44</v>
      </c>
      <c r="AB7" s="79" t="s">
        <v>46</v>
      </c>
      <c r="AC7" s="79" t="s">
        <v>44</v>
      </c>
      <c r="AD7" s="79" t="s">
        <v>47</v>
      </c>
      <c r="AE7" s="79" t="s">
        <v>44</v>
      </c>
      <c r="AF7" s="79" t="s">
        <v>37</v>
      </c>
      <c r="AG7" s="79" t="s">
        <v>44</v>
      </c>
      <c r="AH7" s="79" t="s">
        <v>48</v>
      </c>
      <c r="AI7" s="79" t="s">
        <v>44</v>
      </c>
      <c r="AJ7" s="79" t="s">
        <v>39</v>
      </c>
      <c r="AK7" s="125" t="s">
        <v>49</v>
      </c>
      <c r="AL7" s="79" t="s">
        <v>50</v>
      </c>
      <c r="AM7" s="79" t="s">
        <v>51</v>
      </c>
      <c r="AN7" s="79" t="s">
        <v>52</v>
      </c>
      <c r="AO7" s="79" t="s">
        <v>51</v>
      </c>
      <c r="AP7" s="129" t="s">
        <v>53</v>
      </c>
      <c r="AQ7" s="79" t="s">
        <v>51</v>
      </c>
      <c r="AR7" s="79" t="s">
        <v>43</v>
      </c>
      <c r="AS7" s="79" t="s">
        <v>54</v>
      </c>
      <c r="AT7" s="79" t="s">
        <v>43</v>
      </c>
      <c r="AU7" s="79" t="s">
        <v>54</v>
      </c>
      <c r="AV7" s="79" t="s">
        <v>43</v>
      </c>
      <c r="AW7" s="79" t="s">
        <v>54</v>
      </c>
      <c r="AX7" s="79" t="s">
        <v>43</v>
      </c>
      <c r="AY7" s="79" t="s">
        <v>51</v>
      </c>
      <c r="AZ7" s="79" t="s">
        <v>43</v>
      </c>
      <c r="BA7" s="79" t="s">
        <v>55</v>
      </c>
      <c r="BB7" s="79" t="s">
        <v>43</v>
      </c>
      <c r="BC7" s="79" t="s">
        <v>42</v>
      </c>
      <c r="BD7" s="79" t="s">
        <v>43</v>
      </c>
      <c r="BE7" s="132" t="s">
        <v>339</v>
      </c>
      <c r="BF7" s="79" t="s">
        <v>43</v>
      </c>
      <c r="BG7" s="79"/>
      <c r="BH7" s="79"/>
      <c r="BI7" s="79"/>
    </row>
    <row r="8" ht="15.75" spans="1:61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79">
        <v>29</v>
      </c>
      <c r="AD8" s="79">
        <v>30</v>
      </c>
      <c r="AE8" s="79">
        <v>31</v>
      </c>
      <c r="AF8" s="79">
        <v>32</v>
      </c>
      <c r="AG8" s="79">
        <v>33</v>
      </c>
      <c r="AH8" s="79">
        <v>34</v>
      </c>
      <c r="AI8" s="79">
        <v>35</v>
      </c>
      <c r="AJ8" s="79">
        <v>36</v>
      </c>
      <c r="AK8" s="79">
        <v>37</v>
      </c>
      <c r="AL8" s="79">
        <v>38</v>
      </c>
      <c r="AM8" s="79">
        <v>39</v>
      </c>
      <c r="AN8" s="79">
        <v>40</v>
      </c>
      <c r="AO8" s="79">
        <v>41</v>
      </c>
      <c r="AP8" s="79">
        <v>42</v>
      </c>
      <c r="AQ8" s="79">
        <v>43</v>
      </c>
      <c r="AR8" s="79">
        <v>44</v>
      </c>
      <c r="AS8" s="79">
        <v>45</v>
      </c>
      <c r="AT8" s="79">
        <v>46</v>
      </c>
      <c r="AU8" s="79">
        <v>47</v>
      </c>
      <c r="AV8" s="79">
        <v>48</v>
      </c>
      <c r="AW8" s="79">
        <v>49</v>
      </c>
      <c r="AX8" s="79">
        <v>50</v>
      </c>
      <c r="AY8" s="79">
        <v>51</v>
      </c>
      <c r="AZ8" s="79">
        <v>52</v>
      </c>
      <c r="BA8" s="79">
        <v>53</v>
      </c>
      <c r="BB8" s="79">
        <v>54</v>
      </c>
      <c r="BC8" s="79">
        <v>55</v>
      </c>
      <c r="BD8" s="79">
        <v>56</v>
      </c>
      <c r="BE8" s="79"/>
      <c r="BF8" s="79">
        <v>57</v>
      </c>
      <c r="BG8" s="79">
        <v>58</v>
      </c>
      <c r="BH8" s="79">
        <v>59</v>
      </c>
      <c r="BI8" s="79">
        <v>60</v>
      </c>
    </row>
    <row r="9" ht="18.75" customHeight="1" spans="1:61">
      <c r="A9" s="82">
        <v>1</v>
      </c>
      <c r="B9" s="15" t="s">
        <v>57</v>
      </c>
      <c r="C9" s="15" t="s">
        <v>58</v>
      </c>
      <c r="D9" s="15" t="s">
        <v>59</v>
      </c>
      <c r="E9" s="136" t="s">
        <v>60</v>
      </c>
      <c r="F9" s="137" t="s">
        <v>61</v>
      </c>
      <c r="G9" s="19" t="s">
        <v>349</v>
      </c>
      <c r="H9" s="138">
        <v>5.41</v>
      </c>
      <c r="I9" s="105">
        <f t="shared" ref="I9:I14" si="0">ROUND((((J9+K9))/24)+(L9+M9+N9)/18,2)</f>
        <v>1.22</v>
      </c>
      <c r="J9" s="106"/>
      <c r="K9" s="106"/>
      <c r="L9" s="149">
        <v>22</v>
      </c>
      <c r="M9" s="108"/>
      <c r="N9" s="108"/>
      <c r="O9" s="150">
        <f t="shared" ref="O9:O14" si="1">SUM(J9:N9)</f>
        <v>22</v>
      </c>
      <c r="P9" s="110">
        <f t="shared" ref="P9:P14" si="2">SUM(($H$4*H9)/24)*J9</f>
        <v>0</v>
      </c>
      <c r="Q9" s="121">
        <f t="shared" ref="Q9:Q14" si="3">SUM(($H$4*H9)/24)*K9</f>
        <v>0</v>
      </c>
      <c r="R9" s="121">
        <f t="shared" ref="R9:R14" si="4">($H$4*H9)/18*L9</f>
        <v>117016.496666667</v>
      </c>
      <c r="S9" s="121">
        <f t="shared" ref="S9:S14" si="5">($H$4*H9)*M9/18</f>
        <v>0</v>
      </c>
      <c r="T9" s="121">
        <f t="shared" ref="T9:T14" si="6">($H$4*H9)/18*N9</f>
        <v>0</v>
      </c>
      <c r="U9" s="121">
        <f t="shared" ref="U9:U14" si="7">SUM(P9:T9)</f>
        <v>117016.496666667</v>
      </c>
      <c r="V9" s="122"/>
      <c r="W9" s="121">
        <f t="shared" ref="W9:W14" si="8">(U9*V9)/100</f>
        <v>0</v>
      </c>
      <c r="X9" s="121">
        <f t="shared" ref="X9:X14" si="9">SUM(U9,W9)</f>
        <v>117016.496666667</v>
      </c>
      <c r="Y9" s="122"/>
      <c r="Z9" s="121">
        <f t="shared" ref="Z9:Z14" si="10">($H$4*0.25)*Y9/18</f>
        <v>0</v>
      </c>
      <c r="AA9" s="123"/>
      <c r="AB9" s="93">
        <f t="shared" ref="AB9:AB14" si="11">SUM(($H$4*0.25)/18)*AA9</f>
        <v>0</v>
      </c>
      <c r="AC9" s="110"/>
      <c r="AD9" s="110">
        <f t="shared" ref="AD9:AD14" si="12">SUM(($H$4*0.25)/18*AC9)</f>
        <v>0</v>
      </c>
      <c r="AE9" s="122"/>
      <c r="AF9" s="93">
        <f t="shared" ref="AF9:AF14" si="13">SUM(($H$4*0.2)/18)*AE9</f>
        <v>0</v>
      </c>
      <c r="AG9" s="122"/>
      <c r="AH9" s="126">
        <f t="shared" ref="AH9:AH14" si="14">SUM(($H$4*0.2)/18)*AG9</f>
        <v>0</v>
      </c>
      <c r="AI9" s="122"/>
      <c r="AJ9" s="127">
        <f t="shared" ref="AJ9:AJ14" si="15">SUM(($H$4*0.2)/18)*AI9</f>
        <v>0</v>
      </c>
      <c r="AK9" s="95">
        <f t="shared" ref="AK9:AK14" si="16">SUM(Y9,AA9,AC9,AE9,AG9,AI9)</f>
        <v>0</v>
      </c>
      <c r="AL9" s="93">
        <f t="shared" ref="AL9:AL14" si="17">SUM(Z9,AB9,AD9,AF9,AH9,AJ9)</f>
        <v>0</v>
      </c>
      <c r="AM9" s="128"/>
      <c r="AN9" s="110">
        <f t="shared" ref="AN9:AN14" si="18">SUM($H$4*0.25)*AM9</f>
        <v>0</v>
      </c>
      <c r="AO9" s="123"/>
      <c r="AP9" s="130">
        <f t="shared" ref="AP9:AP14" si="19">SUM($H$4*0.3)*AO9</f>
        <v>0</v>
      </c>
      <c r="AQ9" s="110"/>
      <c r="AR9" s="110">
        <f t="shared" ref="AR9:AR14" si="20">SUM($H$4*0.2*AQ9)</f>
        <v>0</v>
      </c>
      <c r="AS9" s="122"/>
      <c r="AT9" s="110">
        <f t="shared" ref="AT9:AT14" si="21">SUM($H$4*$H9*AS9/18)</f>
        <v>0</v>
      </c>
      <c r="AU9" s="122"/>
      <c r="AV9" s="110">
        <f t="shared" ref="AV9:AV14" si="22">SUM($H$4*$H9*AU9/18)*0.7</f>
        <v>0</v>
      </c>
      <c r="AW9" s="128"/>
      <c r="AX9" s="110">
        <f t="shared" ref="AX9:AX14" si="23">SUM($H$4*$H9*AW9/18)*0.3</f>
        <v>0</v>
      </c>
      <c r="AY9" s="122"/>
      <c r="AZ9" s="126">
        <f t="shared" ref="AZ9:AZ14" si="24">SUM(($H$4*0.25)/18)*AY9</f>
        <v>0</v>
      </c>
      <c r="BA9" s="110"/>
      <c r="BB9" s="110">
        <f t="shared" ref="BB9:BB14" si="25">SUM($H$4*0.2)*BA9</f>
        <v>0</v>
      </c>
      <c r="BC9" s="110"/>
      <c r="BD9" s="126">
        <f t="shared" ref="BD9:BD14" si="26">((($H$4*BC9)/100)*20)/100</f>
        <v>0</v>
      </c>
      <c r="BE9" s="130">
        <f t="shared" ref="BE9:BE14" si="27">SUM(O9)</f>
        <v>22</v>
      </c>
      <c r="BF9" s="133">
        <f t="shared" ref="BF9:BF14" si="28">SUM((U9/O9*BE9)*0.3)</f>
        <v>35104.949</v>
      </c>
      <c r="BG9" s="134">
        <f t="shared" ref="BG9:BG14" si="29">AL9+AN9+AP9+AT9+AV9+AX9+AZ9+BB9+BD9+BF9+AR9</f>
        <v>35104.949</v>
      </c>
      <c r="BH9" s="121">
        <f t="shared" ref="BH9:BH15" si="30">BG9</f>
        <v>35104.949</v>
      </c>
      <c r="BI9" s="121">
        <f t="shared" ref="BI9:BI14" si="31">BH9*12</f>
        <v>421259.388</v>
      </c>
    </row>
    <row r="10" ht="18.75" customHeight="1" spans="1:61">
      <c r="A10" s="82">
        <v>2</v>
      </c>
      <c r="B10" s="15" t="s">
        <v>62</v>
      </c>
      <c r="C10" s="15" t="s">
        <v>63</v>
      </c>
      <c r="D10" s="15" t="s">
        <v>59</v>
      </c>
      <c r="E10" s="136" t="s">
        <v>60</v>
      </c>
      <c r="F10" s="18" t="s">
        <v>61</v>
      </c>
      <c r="G10" s="86">
        <v>33.4</v>
      </c>
      <c r="H10" s="138">
        <v>5.41</v>
      </c>
      <c r="I10" s="105">
        <f t="shared" si="0"/>
        <v>1.56</v>
      </c>
      <c r="J10" s="106"/>
      <c r="K10" s="106"/>
      <c r="L10" s="149">
        <v>10</v>
      </c>
      <c r="M10" s="108">
        <v>15</v>
      </c>
      <c r="N10" s="108">
        <v>3</v>
      </c>
      <c r="O10" s="150">
        <f t="shared" si="1"/>
        <v>28</v>
      </c>
      <c r="P10" s="110">
        <f t="shared" si="2"/>
        <v>0</v>
      </c>
      <c r="Q10" s="121">
        <f t="shared" si="3"/>
        <v>0</v>
      </c>
      <c r="R10" s="121">
        <f t="shared" si="4"/>
        <v>53189.3166666667</v>
      </c>
      <c r="S10" s="121">
        <f t="shared" si="5"/>
        <v>79783.975</v>
      </c>
      <c r="T10" s="121">
        <f t="shared" si="6"/>
        <v>15956.795</v>
      </c>
      <c r="U10" s="121">
        <f t="shared" si="7"/>
        <v>148930.086666667</v>
      </c>
      <c r="V10" s="122"/>
      <c r="W10" s="121">
        <f t="shared" si="8"/>
        <v>0</v>
      </c>
      <c r="X10" s="121">
        <f t="shared" si="9"/>
        <v>148930.086666667</v>
      </c>
      <c r="Y10" s="122"/>
      <c r="Z10" s="121">
        <f t="shared" si="10"/>
        <v>0</v>
      </c>
      <c r="AA10" s="123"/>
      <c r="AB10" s="93">
        <f t="shared" si="11"/>
        <v>0</v>
      </c>
      <c r="AC10" s="110"/>
      <c r="AD10" s="110">
        <f t="shared" si="12"/>
        <v>0</v>
      </c>
      <c r="AE10" s="122"/>
      <c r="AF10" s="93">
        <f t="shared" si="13"/>
        <v>0</v>
      </c>
      <c r="AG10" s="122"/>
      <c r="AH10" s="126">
        <f t="shared" si="14"/>
        <v>0</v>
      </c>
      <c r="AI10" s="122"/>
      <c r="AJ10" s="127">
        <f t="shared" si="15"/>
        <v>0</v>
      </c>
      <c r="AK10" s="95">
        <f t="shared" si="16"/>
        <v>0</v>
      </c>
      <c r="AL10" s="93">
        <f t="shared" si="17"/>
        <v>0</v>
      </c>
      <c r="AM10" s="128"/>
      <c r="AN10" s="110">
        <f t="shared" si="18"/>
        <v>0</v>
      </c>
      <c r="AO10" s="123"/>
      <c r="AP10" s="130">
        <f t="shared" si="19"/>
        <v>0</v>
      </c>
      <c r="AQ10" s="110"/>
      <c r="AR10" s="110">
        <f t="shared" si="20"/>
        <v>0</v>
      </c>
      <c r="AS10" s="122"/>
      <c r="AT10" s="110">
        <f t="shared" si="21"/>
        <v>0</v>
      </c>
      <c r="AU10" s="122"/>
      <c r="AV10" s="110">
        <f t="shared" si="22"/>
        <v>0</v>
      </c>
      <c r="AW10" s="128"/>
      <c r="AX10" s="110">
        <f t="shared" si="23"/>
        <v>0</v>
      </c>
      <c r="AY10" s="122"/>
      <c r="AZ10" s="126">
        <f t="shared" si="24"/>
        <v>0</v>
      </c>
      <c r="BA10" s="110"/>
      <c r="BB10" s="110">
        <f t="shared" si="25"/>
        <v>0</v>
      </c>
      <c r="BC10" s="110"/>
      <c r="BD10" s="126">
        <f t="shared" si="26"/>
        <v>0</v>
      </c>
      <c r="BE10" s="130">
        <f t="shared" si="27"/>
        <v>28</v>
      </c>
      <c r="BF10" s="133">
        <f t="shared" si="28"/>
        <v>44679.026</v>
      </c>
      <c r="BG10" s="134">
        <f t="shared" si="29"/>
        <v>44679.026</v>
      </c>
      <c r="BH10" s="121">
        <f t="shared" si="30"/>
        <v>44679.026</v>
      </c>
      <c r="BI10" s="121">
        <f t="shared" si="31"/>
        <v>536148.312</v>
      </c>
    </row>
    <row r="11" ht="18.75" customHeight="1" spans="1:61">
      <c r="A11" s="82">
        <v>3</v>
      </c>
      <c r="B11" s="15" t="s">
        <v>64</v>
      </c>
      <c r="C11" s="16" t="s">
        <v>65</v>
      </c>
      <c r="D11" s="15" t="s">
        <v>59</v>
      </c>
      <c r="E11" s="136" t="s">
        <v>60</v>
      </c>
      <c r="F11" s="18" t="s">
        <v>66</v>
      </c>
      <c r="G11" s="86">
        <v>35.4</v>
      </c>
      <c r="H11" s="138">
        <v>5.41</v>
      </c>
      <c r="I11" s="105">
        <f t="shared" si="0"/>
        <v>1.64</v>
      </c>
      <c r="J11" s="106"/>
      <c r="K11" s="106"/>
      <c r="L11" s="149">
        <v>4</v>
      </c>
      <c r="M11" s="108">
        <v>22</v>
      </c>
      <c r="N11" s="108">
        <v>3.5</v>
      </c>
      <c r="O11" s="150">
        <f t="shared" si="1"/>
        <v>29.5</v>
      </c>
      <c r="P11" s="110">
        <f t="shared" si="2"/>
        <v>0</v>
      </c>
      <c r="Q11" s="121">
        <f t="shared" si="3"/>
        <v>0</v>
      </c>
      <c r="R11" s="121">
        <f t="shared" si="4"/>
        <v>21275.7266666667</v>
      </c>
      <c r="S11" s="121">
        <f t="shared" si="5"/>
        <v>117016.496666667</v>
      </c>
      <c r="T11" s="121">
        <f t="shared" si="6"/>
        <v>18616.2608333333</v>
      </c>
      <c r="U11" s="121">
        <f t="shared" si="7"/>
        <v>156908.484166667</v>
      </c>
      <c r="V11" s="122"/>
      <c r="W11" s="121">
        <f t="shared" si="8"/>
        <v>0</v>
      </c>
      <c r="X11" s="121">
        <f t="shared" si="9"/>
        <v>156908.484166667</v>
      </c>
      <c r="Y11" s="122"/>
      <c r="Z11" s="121">
        <f t="shared" si="10"/>
        <v>0</v>
      </c>
      <c r="AA11" s="123"/>
      <c r="AB11" s="93">
        <f t="shared" si="11"/>
        <v>0</v>
      </c>
      <c r="AC11" s="110"/>
      <c r="AD11" s="110">
        <f t="shared" si="12"/>
        <v>0</v>
      </c>
      <c r="AE11" s="122"/>
      <c r="AF11" s="93">
        <f t="shared" si="13"/>
        <v>0</v>
      </c>
      <c r="AG11" s="122"/>
      <c r="AH11" s="126">
        <f t="shared" si="14"/>
        <v>0</v>
      </c>
      <c r="AI11" s="122"/>
      <c r="AJ11" s="127">
        <f t="shared" si="15"/>
        <v>0</v>
      </c>
      <c r="AK11" s="95">
        <f t="shared" si="16"/>
        <v>0</v>
      </c>
      <c r="AL11" s="93">
        <f t="shared" si="17"/>
        <v>0</v>
      </c>
      <c r="AM11" s="128"/>
      <c r="AN11" s="110">
        <f t="shared" si="18"/>
        <v>0</v>
      </c>
      <c r="AO11" s="123"/>
      <c r="AP11" s="130">
        <f t="shared" si="19"/>
        <v>0</v>
      </c>
      <c r="AQ11" s="110"/>
      <c r="AR11" s="110">
        <f t="shared" si="20"/>
        <v>0</v>
      </c>
      <c r="AS11" s="122"/>
      <c r="AT11" s="110">
        <f t="shared" si="21"/>
        <v>0</v>
      </c>
      <c r="AU11" s="122"/>
      <c r="AV11" s="110">
        <f t="shared" si="22"/>
        <v>0</v>
      </c>
      <c r="AW11" s="128"/>
      <c r="AX11" s="110">
        <f t="shared" si="23"/>
        <v>0</v>
      </c>
      <c r="AY11" s="122"/>
      <c r="AZ11" s="126">
        <f t="shared" si="24"/>
        <v>0</v>
      </c>
      <c r="BA11" s="110"/>
      <c r="BB11" s="110">
        <f t="shared" si="25"/>
        <v>0</v>
      </c>
      <c r="BC11" s="110"/>
      <c r="BD11" s="126">
        <f t="shared" si="26"/>
        <v>0</v>
      </c>
      <c r="BE11" s="130">
        <f t="shared" si="27"/>
        <v>29.5</v>
      </c>
      <c r="BF11" s="133">
        <f t="shared" si="28"/>
        <v>47072.54525</v>
      </c>
      <c r="BG11" s="134">
        <f t="shared" si="29"/>
        <v>47072.54525</v>
      </c>
      <c r="BH11" s="121">
        <f t="shared" si="30"/>
        <v>47072.54525</v>
      </c>
      <c r="BI11" s="121">
        <f t="shared" si="31"/>
        <v>564870.543</v>
      </c>
    </row>
    <row r="12" ht="18.75" customHeight="1" spans="1:61">
      <c r="A12" s="82">
        <v>4</v>
      </c>
      <c r="B12" s="15" t="s">
        <v>67</v>
      </c>
      <c r="C12" s="15" t="s">
        <v>68</v>
      </c>
      <c r="D12" s="15" t="s">
        <v>59</v>
      </c>
      <c r="E12" s="136" t="s">
        <v>60</v>
      </c>
      <c r="F12" s="18" t="s">
        <v>69</v>
      </c>
      <c r="G12" s="86">
        <v>32.4</v>
      </c>
      <c r="H12" s="138">
        <v>5.41</v>
      </c>
      <c r="I12" s="105">
        <f t="shared" si="0"/>
        <v>1.33</v>
      </c>
      <c r="J12" s="106"/>
      <c r="K12" s="106"/>
      <c r="L12" s="149"/>
      <c r="M12" s="108">
        <v>18</v>
      </c>
      <c r="N12" s="108">
        <v>6</v>
      </c>
      <c r="O12" s="150">
        <f t="shared" si="1"/>
        <v>24</v>
      </c>
      <c r="P12" s="110">
        <f t="shared" si="2"/>
        <v>0</v>
      </c>
      <c r="Q12" s="121">
        <f t="shared" si="3"/>
        <v>0</v>
      </c>
      <c r="R12" s="121">
        <f t="shared" si="4"/>
        <v>0</v>
      </c>
      <c r="S12" s="121">
        <f t="shared" si="5"/>
        <v>95740.77</v>
      </c>
      <c r="T12" s="121">
        <f t="shared" si="6"/>
        <v>31913.59</v>
      </c>
      <c r="U12" s="121">
        <f t="shared" si="7"/>
        <v>127654.36</v>
      </c>
      <c r="V12" s="122"/>
      <c r="W12" s="121">
        <f t="shared" si="8"/>
        <v>0</v>
      </c>
      <c r="X12" s="121">
        <f t="shared" si="9"/>
        <v>127654.36</v>
      </c>
      <c r="Y12" s="122"/>
      <c r="Z12" s="121">
        <f t="shared" si="10"/>
        <v>0</v>
      </c>
      <c r="AA12" s="123"/>
      <c r="AB12" s="93">
        <f t="shared" si="11"/>
        <v>0</v>
      </c>
      <c r="AC12" s="110"/>
      <c r="AD12" s="110">
        <f t="shared" si="12"/>
        <v>0</v>
      </c>
      <c r="AE12" s="122"/>
      <c r="AF12" s="93">
        <f t="shared" si="13"/>
        <v>0</v>
      </c>
      <c r="AG12" s="122"/>
      <c r="AH12" s="126">
        <f t="shared" si="14"/>
        <v>0</v>
      </c>
      <c r="AI12" s="122"/>
      <c r="AJ12" s="127">
        <f t="shared" si="15"/>
        <v>0</v>
      </c>
      <c r="AK12" s="95">
        <f t="shared" si="16"/>
        <v>0</v>
      </c>
      <c r="AL12" s="93">
        <f t="shared" si="17"/>
        <v>0</v>
      </c>
      <c r="AM12" s="128"/>
      <c r="AN12" s="110">
        <f t="shared" si="18"/>
        <v>0</v>
      </c>
      <c r="AO12" s="123"/>
      <c r="AP12" s="130">
        <f t="shared" si="19"/>
        <v>0</v>
      </c>
      <c r="AQ12" s="110"/>
      <c r="AR12" s="110">
        <f t="shared" si="20"/>
        <v>0</v>
      </c>
      <c r="AS12" s="122"/>
      <c r="AT12" s="110">
        <f t="shared" si="21"/>
        <v>0</v>
      </c>
      <c r="AU12" s="122"/>
      <c r="AV12" s="110">
        <f t="shared" si="22"/>
        <v>0</v>
      </c>
      <c r="AW12" s="128"/>
      <c r="AX12" s="110">
        <f t="shared" si="23"/>
        <v>0</v>
      </c>
      <c r="AY12" s="122"/>
      <c r="AZ12" s="126">
        <f t="shared" si="24"/>
        <v>0</v>
      </c>
      <c r="BA12" s="110"/>
      <c r="BB12" s="110">
        <f t="shared" si="25"/>
        <v>0</v>
      </c>
      <c r="BC12" s="110"/>
      <c r="BD12" s="126">
        <f t="shared" si="26"/>
        <v>0</v>
      </c>
      <c r="BE12" s="130">
        <f t="shared" si="27"/>
        <v>24</v>
      </c>
      <c r="BF12" s="133">
        <f t="shared" si="28"/>
        <v>38296.308</v>
      </c>
      <c r="BG12" s="134">
        <f t="shared" si="29"/>
        <v>38296.308</v>
      </c>
      <c r="BH12" s="121">
        <f t="shared" si="30"/>
        <v>38296.308</v>
      </c>
      <c r="BI12" s="121">
        <f t="shared" si="31"/>
        <v>459555.696</v>
      </c>
    </row>
    <row r="13" ht="18.75" customHeight="1" spans="1:61">
      <c r="A13" s="82">
        <v>5</v>
      </c>
      <c r="B13" s="15" t="s">
        <v>70</v>
      </c>
      <c r="C13" s="16" t="s">
        <v>71</v>
      </c>
      <c r="D13" s="15" t="s">
        <v>59</v>
      </c>
      <c r="E13" s="136" t="s">
        <v>60</v>
      </c>
      <c r="F13" s="18" t="s">
        <v>61</v>
      </c>
      <c r="G13" s="86">
        <v>26</v>
      </c>
      <c r="H13" s="138">
        <v>5.41</v>
      </c>
      <c r="I13" s="105">
        <f t="shared" si="0"/>
        <v>0.72</v>
      </c>
      <c r="J13" s="106"/>
      <c r="K13" s="106"/>
      <c r="L13" s="149"/>
      <c r="M13" s="108">
        <v>10</v>
      </c>
      <c r="N13" s="108">
        <v>3</v>
      </c>
      <c r="O13" s="150">
        <f t="shared" si="1"/>
        <v>13</v>
      </c>
      <c r="P13" s="110">
        <f t="shared" si="2"/>
        <v>0</v>
      </c>
      <c r="Q13" s="121">
        <f t="shared" si="3"/>
        <v>0</v>
      </c>
      <c r="R13" s="121">
        <f t="shared" si="4"/>
        <v>0</v>
      </c>
      <c r="S13" s="121">
        <f t="shared" si="5"/>
        <v>53189.3166666667</v>
      </c>
      <c r="T13" s="121">
        <f t="shared" si="6"/>
        <v>15956.795</v>
      </c>
      <c r="U13" s="121">
        <f t="shared" si="7"/>
        <v>69146.1116666667</v>
      </c>
      <c r="V13" s="122"/>
      <c r="W13" s="121">
        <f t="shared" si="8"/>
        <v>0</v>
      </c>
      <c r="X13" s="121">
        <f t="shared" si="9"/>
        <v>69146.1116666667</v>
      </c>
      <c r="Y13" s="122"/>
      <c r="Z13" s="121">
        <f t="shared" si="10"/>
        <v>0</v>
      </c>
      <c r="AA13" s="123"/>
      <c r="AB13" s="93">
        <f t="shared" si="11"/>
        <v>0</v>
      </c>
      <c r="AC13" s="110"/>
      <c r="AD13" s="110">
        <f t="shared" si="12"/>
        <v>0</v>
      </c>
      <c r="AE13" s="122"/>
      <c r="AF13" s="93">
        <f t="shared" si="13"/>
        <v>0</v>
      </c>
      <c r="AG13" s="122"/>
      <c r="AH13" s="126">
        <f t="shared" si="14"/>
        <v>0</v>
      </c>
      <c r="AI13" s="122"/>
      <c r="AJ13" s="127">
        <f t="shared" si="15"/>
        <v>0</v>
      </c>
      <c r="AK13" s="95">
        <f t="shared" si="16"/>
        <v>0</v>
      </c>
      <c r="AL13" s="93">
        <f t="shared" si="17"/>
        <v>0</v>
      </c>
      <c r="AM13" s="128"/>
      <c r="AN13" s="110">
        <f t="shared" si="18"/>
        <v>0</v>
      </c>
      <c r="AO13" s="123"/>
      <c r="AP13" s="130">
        <f t="shared" si="19"/>
        <v>0</v>
      </c>
      <c r="AQ13" s="110"/>
      <c r="AR13" s="110">
        <f t="shared" si="20"/>
        <v>0</v>
      </c>
      <c r="AS13" s="122"/>
      <c r="AT13" s="110">
        <f t="shared" si="21"/>
        <v>0</v>
      </c>
      <c r="AU13" s="122"/>
      <c r="AV13" s="110">
        <f t="shared" si="22"/>
        <v>0</v>
      </c>
      <c r="AW13" s="128"/>
      <c r="AX13" s="110">
        <f t="shared" si="23"/>
        <v>0</v>
      </c>
      <c r="AY13" s="122"/>
      <c r="AZ13" s="126">
        <f t="shared" si="24"/>
        <v>0</v>
      </c>
      <c r="BA13" s="110"/>
      <c r="BB13" s="110">
        <f t="shared" si="25"/>
        <v>0</v>
      </c>
      <c r="BC13" s="110"/>
      <c r="BD13" s="126">
        <f t="shared" si="26"/>
        <v>0</v>
      </c>
      <c r="BE13" s="130">
        <f t="shared" si="27"/>
        <v>13</v>
      </c>
      <c r="BF13" s="133">
        <f t="shared" si="28"/>
        <v>20743.8335</v>
      </c>
      <c r="BG13" s="134">
        <f t="shared" si="29"/>
        <v>20743.8335</v>
      </c>
      <c r="BH13" s="121">
        <f t="shared" si="30"/>
        <v>20743.8335</v>
      </c>
      <c r="BI13" s="121">
        <f t="shared" si="31"/>
        <v>248926.002</v>
      </c>
    </row>
    <row r="14" ht="18.75" customHeight="1" spans="1:61">
      <c r="A14" s="82">
        <v>6</v>
      </c>
      <c r="B14" s="15" t="s">
        <v>72</v>
      </c>
      <c r="C14" s="15" t="s">
        <v>73</v>
      </c>
      <c r="D14" s="15" t="s">
        <v>59</v>
      </c>
      <c r="E14" s="136" t="s">
        <v>60</v>
      </c>
      <c r="F14" s="18" t="s">
        <v>66</v>
      </c>
      <c r="G14" s="86">
        <v>19.4</v>
      </c>
      <c r="H14" s="139">
        <v>5.24</v>
      </c>
      <c r="I14" s="105">
        <f t="shared" si="0"/>
        <v>0.33</v>
      </c>
      <c r="J14" s="106"/>
      <c r="K14" s="106"/>
      <c r="L14" s="149">
        <v>4</v>
      </c>
      <c r="M14" s="108">
        <v>2</v>
      </c>
      <c r="N14" s="108"/>
      <c r="O14" s="150">
        <f t="shared" si="1"/>
        <v>6</v>
      </c>
      <c r="P14" s="110">
        <f t="shared" si="2"/>
        <v>0</v>
      </c>
      <c r="Q14" s="121">
        <f t="shared" si="3"/>
        <v>0</v>
      </c>
      <c r="R14" s="121">
        <f t="shared" si="4"/>
        <v>20607.1733333333</v>
      </c>
      <c r="S14" s="121">
        <f t="shared" si="5"/>
        <v>10303.5866666667</v>
      </c>
      <c r="T14" s="121">
        <f t="shared" si="6"/>
        <v>0</v>
      </c>
      <c r="U14" s="121">
        <f t="shared" si="7"/>
        <v>30910.76</v>
      </c>
      <c r="V14" s="122"/>
      <c r="W14" s="121">
        <f t="shared" si="8"/>
        <v>0</v>
      </c>
      <c r="X14" s="121">
        <f t="shared" si="9"/>
        <v>30910.76</v>
      </c>
      <c r="Y14" s="122"/>
      <c r="Z14" s="121">
        <f t="shared" si="10"/>
        <v>0</v>
      </c>
      <c r="AA14" s="123"/>
      <c r="AB14" s="93">
        <f t="shared" si="11"/>
        <v>0</v>
      </c>
      <c r="AC14" s="110"/>
      <c r="AD14" s="110">
        <f t="shared" si="12"/>
        <v>0</v>
      </c>
      <c r="AE14" s="122"/>
      <c r="AF14" s="93">
        <f t="shared" si="13"/>
        <v>0</v>
      </c>
      <c r="AG14" s="122"/>
      <c r="AH14" s="126">
        <f t="shared" si="14"/>
        <v>0</v>
      </c>
      <c r="AI14" s="122"/>
      <c r="AJ14" s="127">
        <f t="shared" si="15"/>
        <v>0</v>
      </c>
      <c r="AK14" s="95">
        <f t="shared" si="16"/>
        <v>0</v>
      </c>
      <c r="AL14" s="93">
        <f t="shared" si="17"/>
        <v>0</v>
      </c>
      <c r="AM14" s="128"/>
      <c r="AN14" s="110">
        <f t="shared" si="18"/>
        <v>0</v>
      </c>
      <c r="AO14" s="123"/>
      <c r="AP14" s="130">
        <f t="shared" si="19"/>
        <v>0</v>
      </c>
      <c r="AQ14" s="110"/>
      <c r="AR14" s="110">
        <f t="shared" si="20"/>
        <v>0</v>
      </c>
      <c r="AS14" s="122"/>
      <c r="AT14" s="110">
        <f t="shared" si="21"/>
        <v>0</v>
      </c>
      <c r="AU14" s="122"/>
      <c r="AV14" s="110">
        <f t="shared" si="22"/>
        <v>0</v>
      </c>
      <c r="AW14" s="128"/>
      <c r="AX14" s="110">
        <f t="shared" si="23"/>
        <v>0</v>
      </c>
      <c r="AY14" s="122"/>
      <c r="AZ14" s="126">
        <f t="shared" si="24"/>
        <v>0</v>
      </c>
      <c r="BA14" s="110"/>
      <c r="BB14" s="110">
        <f t="shared" si="25"/>
        <v>0</v>
      </c>
      <c r="BC14" s="110"/>
      <c r="BD14" s="126">
        <f t="shared" si="26"/>
        <v>0</v>
      </c>
      <c r="BE14" s="130">
        <f t="shared" si="27"/>
        <v>6</v>
      </c>
      <c r="BF14" s="133">
        <f t="shared" si="28"/>
        <v>9273.228</v>
      </c>
      <c r="BG14" s="134">
        <f t="shared" si="29"/>
        <v>9273.228</v>
      </c>
      <c r="BH14" s="121">
        <f t="shared" si="30"/>
        <v>9273.228</v>
      </c>
      <c r="BI14" s="121">
        <f t="shared" si="31"/>
        <v>111278.736</v>
      </c>
    </row>
    <row r="15" ht="18.75" customHeight="1" spans="1:61">
      <c r="A15" s="140"/>
      <c r="B15" s="88" t="s">
        <v>75</v>
      </c>
      <c r="C15" s="127"/>
      <c r="D15" s="127"/>
      <c r="E15" s="141"/>
      <c r="F15" s="142"/>
      <c r="G15" s="127"/>
      <c r="H15" s="93"/>
      <c r="I15" s="88">
        <f>SUM(I9:I14)</f>
        <v>6.8</v>
      </c>
      <c r="J15" s="88">
        <f t="shared" ref="J15:BI15" si="32">SUM(J9:J14)</f>
        <v>0</v>
      </c>
      <c r="K15" s="88">
        <f t="shared" si="32"/>
        <v>0</v>
      </c>
      <c r="L15" s="88">
        <f t="shared" si="32"/>
        <v>40</v>
      </c>
      <c r="M15" s="88">
        <f t="shared" si="32"/>
        <v>67</v>
      </c>
      <c r="N15" s="88">
        <f t="shared" si="32"/>
        <v>15.5</v>
      </c>
      <c r="O15" s="88">
        <f t="shared" si="32"/>
        <v>122.5</v>
      </c>
      <c r="P15" s="88">
        <f t="shared" si="32"/>
        <v>0</v>
      </c>
      <c r="Q15" s="88">
        <f t="shared" si="32"/>
        <v>0</v>
      </c>
      <c r="R15" s="88">
        <f t="shared" si="32"/>
        <v>212088.713333333</v>
      </c>
      <c r="S15" s="88">
        <f t="shared" si="32"/>
        <v>356034.145</v>
      </c>
      <c r="T15" s="88">
        <f t="shared" si="32"/>
        <v>82443.4408333333</v>
      </c>
      <c r="U15" s="88">
        <f t="shared" si="32"/>
        <v>650566.299166667</v>
      </c>
      <c r="V15" s="88">
        <f t="shared" si="32"/>
        <v>0</v>
      </c>
      <c r="W15" s="88">
        <f t="shared" si="32"/>
        <v>0</v>
      </c>
      <c r="X15" s="88">
        <f t="shared" si="32"/>
        <v>650566.299166667</v>
      </c>
      <c r="Y15" s="88">
        <f t="shared" si="32"/>
        <v>0</v>
      </c>
      <c r="Z15" s="88">
        <f t="shared" si="32"/>
        <v>0</v>
      </c>
      <c r="AA15" s="88">
        <f t="shared" si="32"/>
        <v>0</v>
      </c>
      <c r="AB15" s="88">
        <f t="shared" si="32"/>
        <v>0</v>
      </c>
      <c r="AC15" s="88">
        <f t="shared" si="32"/>
        <v>0</v>
      </c>
      <c r="AD15" s="88">
        <f t="shared" si="32"/>
        <v>0</v>
      </c>
      <c r="AE15" s="88">
        <f t="shared" si="32"/>
        <v>0</v>
      </c>
      <c r="AF15" s="88">
        <f t="shared" si="32"/>
        <v>0</v>
      </c>
      <c r="AG15" s="88">
        <f t="shared" si="32"/>
        <v>0</v>
      </c>
      <c r="AH15" s="88">
        <f t="shared" si="32"/>
        <v>0</v>
      </c>
      <c r="AI15" s="88">
        <f t="shared" si="32"/>
        <v>0</v>
      </c>
      <c r="AJ15" s="88">
        <f t="shared" si="32"/>
        <v>0</v>
      </c>
      <c r="AK15" s="88">
        <f t="shared" si="32"/>
        <v>0</v>
      </c>
      <c r="AL15" s="88">
        <f t="shared" si="32"/>
        <v>0</v>
      </c>
      <c r="AM15" s="88">
        <f t="shared" si="32"/>
        <v>0</v>
      </c>
      <c r="AN15" s="88">
        <f t="shared" si="32"/>
        <v>0</v>
      </c>
      <c r="AO15" s="88">
        <f t="shared" si="32"/>
        <v>0</v>
      </c>
      <c r="AP15" s="88">
        <f t="shared" si="32"/>
        <v>0</v>
      </c>
      <c r="AQ15" s="88">
        <f t="shared" si="32"/>
        <v>0</v>
      </c>
      <c r="AR15" s="88">
        <f t="shared" si="32"/>
        <v>0</v>
      </c>
      <c r="AS15" s="88">
        <f t="shared" si="32"/>
        <v>0</v>
      </c>
      <c r="AT15" s="88">
        <f t="shared" si="32"/>
        <v>0</v>
      </c>
      <c r="AU15" s="88">
        <f t="shared" si="32"/>
        <v>0</v>
      </c>
      <c r="AV15" s="88">
        <f t="shared" si="32"/>
        <v>0</v>
      </c>
      <c r="AW15" s="88">
        <f t="shared" si="32"/>
        <v>0</v>
      </c>
      <c r="AX15" s="88">
        <f t="shared" si="32"/>
        <v>0</v>
      </c>
      <c r="AY15" s="88">
        <f t="shared" si="32"/>
        <v>0</v>
      </c>
      <c r="AZ15" s="88">
        <f t="shared" si="32"/>
        <v>0</v>
      </c>
      <c r="BA15" s="88">
        <f t="shared" si="32"/>
        <v>0</v>
      </c>
      <c r="BB15" s="88">
        <f t="shared" si="32"/>
        <v>0</v>
      </c>
      <c r="BC15" s="88">
        <f t="shared" si="32"/>
        <v>0</v>
      </c>
      <c r="BD15" s="88">
        <f t="shared" si="32"/>
        <v>0</v>
      </c>
      <c r="BE15" s="88">
        <f t="shared" si="32"/>
        <v>122.5</v>
      </c>
      <c r="BF15" s="88">
        <f t="shared" si="32"/>
        <v>195169.88975</v>
      </c>
      <c r="BG15" s="88">
        <f t="shared" si="32"/>
        <v>195169.88975</v>
      </c>
      <c r="BH15" s="121">
        <f t="shared" si="30"/>
        <v>195169.88975</v>
      </c>
      <c r="BI15" s="88">
        <f t="shared" si="32"/>
        <v>2342038.677</v>
      </c>
    </row>
    <row r="16" ht="18.75" customHeight="1" spans="1:61">
      <c r="A16" s="82">
        <v>9</v>
      </c>
      <c r="B16" s="15" t="s">
        <v>76</v>
      </c>
      <c r="C16" s="15" t="s">
        <v>77</v>
      </c>
      <c r="D16" s="15" t="s">
        <v>59</v>
      </c>
      <c r="E16" s="85" t="s">
        <v>78</v>
      </c>
      <c r="F16" s="18">
        <v>1</v>
      </c>
      <c r="G16" s="143">
        <v>28.1</v>
      </c>
      <c r="H16" s="144">
        <v>5.2</v>
      </c>
      <c r="I16" s="105">
        <f t="shared" ref="I16:I25" si="33">ROUND((((J16+K16))/24)+(L16+M16+N16)/18,2)</f>
        <v>1.17</v>
      </c>
      <c r="J16" s="151"/>
      <c r="K16" s="151"/>
      <c r="L16" s="113"/>
      <c r="M16" s="113">
        <v>17</v>
      </c>
      <c r="N16" s="113">
        <v>4</v>
      </c>
      <c r="O16" s="150">
        <f t="shared" ref="O16:O25" si="34">SUM(J16:N16)</f>
        <v>21</v>
      </c>
      <c r="P16" s="110">
        <f t="shared" ref="P16:P25" si="35">SUM(($H$4*H16)/24)*J16</f>
        <v>0</v>
      </c>
      <c r="Q16" s="121">
        <f t="shared" ref="Q16:Q25" si="36">SUM(($H$4*H16)/24)*K16</f>
        <v>0</v>
      </c>
      <c r="R16" s="121">
        <f t="shared" ref="R16:R25" si="37">($H$4*H16)/18*L16</f>
        <v>0</v>
      </c>
      <c r="S16" s="121">
        <f t="shared" ref="S16:S25" si="38">($H$4*H16)*M16/18</f>
        <v>86911.9333333333</v>
      </c>
      <c r="T16" s="121">
        <f t="shared" ref="T16:T25" si="39">($H$4*H16)/18*N16</f>
        <v>20449.8666666667</v>
      </c>
      <c r="U16" s="121">
        <f t="shared" ref="U16:U25" si="40">SUM(P16:T16)</f>
        <v>107361.8</v>
      </c>
      <c r="V16" s="122"/>
      <c r="W16" s="121">
        <f t="shared" ref="W16:W25" si="41">(U16*V16)/100</f>
        <v>0</v>
      </c>
      <c r="X16" s="121">
        <f t="shared" ref="X16:X25" si="42">SUM(U16,W16)</f>
        <v>107361.8</v>
      </c>
      <c r="Y16" s="122"/>
      <c r="Z16" s="121">
        <f t="shared" ref="Z16:Z25" si="43">($H$4*0.25)*Y16/18</f>
        <v>0</v>
      </c>
      <c r="AA16" s="123"/>
      <c r="AB16" s="93">
        <f t="shared" ref="AB16:AB25" si="44">SUM(($H$4*0.25)/18)*AA16</f>
        <v>0</v>
      </c>
      <c r="AC16" s="110"/>
      <c r="AD16" s="110">
        <f t="shared" ref="AD16:AD25" si="45">SUM(($H$4*0.25)/18*AC16)</f>
        <v>0</v>
      </c>
      <c r="AE16" s="122"/>
      <c r="AF16" s="93">
        <f t="shared" ref="AF16:AF25" si="46">SUM(($H$4*0.2)/18)*AE16</f>
        <v>0</v>
      </c>
      <c r="AG16" s="122"/>
      <c r="AH16" s="126">
        <f t="shared" ref="AH16:AH25" si="47">SUM(($H$4*0.2)/18)*AG16</f>
        <v>0</v>
      </c>
      <c r="AI16" s="122"/>
      <c r="AJ16" s="127">
        <f t="shared" ref="AJ16:AJ25" si="48">SUM(($H$4*0.2)/18)*AI16</f>
        <v>0</v>
      </c>
      <c r="AK16" s="95">
        <f t="shared" ref="AK16:AK25" si="49">SUM(Y16,AA16,AC16,AE16,AG16,AI16)</f>
        <v>0</v>
      </c>
      <c r="AL16" s="93">
        <f t="shared" ref="AL16:AL25" si="50">SUM(Z16,AB16,AD16,AF16,AH16,AJ16)</f>
        <v>0</v>
      </c>
      <c r="AM16" s="128"/>
      <c r="AN16" s="110">
        <f t="shared" ref="AN16:AN25" si="51">SUM($H$4*0.25)*AM16</f>
        <v>0</v>
      </c>
      <c r="AO16" s="123"/>
      <c r="AP16" s="130">
        <f t="shared" ref="AP16:AP25" si="52">SUM($H$4*0.3)*AO16</f>
        <v>0</v>
      </c>
      <c r="AQ16" s="110"/>
      <c r="AR16" s="110">
        <f t="shared" ref="AR16:AR25" si="53">SUM($H$4*0.2*AQ16)</f>
        <v>0</v>
      </c>
      <c r="AS16" s="122"/>
      <c r="AT16" s="110">
        <f t="shared" ref="AT16:AT25" si="54">SUM($H$4*$H16*AS16/18)</f>
        <v>0</v>
      </c>
      <c r="AU16" s="122"/>
      <c r="AV16" s="110">
        <f t="shared" ref="AV16:AV25" si="55">SUM($H$4*$H16*AU16/18)*0.7</f>
        <v>0</v>
      </c>
      <c r="AW16" s="128"/>
      <c r="AX16" s="110">
        <f t="shared" ref="AX16:AX25" si="56">SUM($H$4*$H16*AW16/18)*0.3</f>
        <v>0</v>
      </c>
      <c r="AY16" s="122"/>
      <c r="AZ16" s="126">
        <f t="shared" ref="AZ16:AZ25" si="57">SUM(($H$4*0.25)/18)*AY16</f>
        <v>0</v>
      </c>
      <c r="BA16" s="110"/>
      <c r="BB16" s="110">
        <f t="shared" ref="BB16:BB25" si="58">SUM($H$4*0.2)*BA16</f>
        <v>0</v>
      </c>
      <c r="BC16" s="110"/>
      <c r="BD16" s="126">
        <f t="shared" ref="BD16:BD25" si="59">((($H$4*BC16)/100)*20)/100</f>
        <v>0</v>
      </c>
      <c r="BE16" s="130">
        <f t="shared" ref="BE16:BE25" si="60">SUM(O16)</f>
        <v>21</v>
      </c>
      <c r="BF16" s="133">
        <f t="shared" ref="BF16:BF25" si="61">SUM((U16/O16*BE16)*0.3)</f>
        <v>32208.54</v>
      </c>
      <c r="BG16" s="134">
        <f t="shared" ref="BG16:BG25" si="62">AL16+AN16+AP16+AT16+AV16+AX16+AZ16+BB16+BD16+BF16+AR16</f>
        <v>32208.54</v>
      </c>
      <c r="BH16" s="121">
        <f t="shared" ref="BH16:BH25" si="63">BG16</f>
        <v>32208.54</v>
      </c>
      <c r="BI16" s="121">
        <f t="shared" ref="BI16:BI25" si="64">BH16*12</f>
        <v>386502.48</v>
      </c>
    </row>
    <row r="17" ht="18.75" customHeight="1" spans="1:61">
      <c r="A17" s="82">
        <v>10</v>
      </c>
      <c r="B17" s="145" t="s">
        <v>83</v>
      </c>
      <c r="C17" s="16" t="s">
        <v>71</v>
      </c>
      <c r="D17" s="15" t="s">
        <v>59</v>
      </c>
      <c r="E17" s="136" t="s">
        <v>78</v>
      </c>
      <c r="F17" s="18" t="s">
        <v>87</v>
      </c>
      <c r="G17" s="146">
        <v>39</v>
      </c>
      <c r="H17" s="144">
        <v>5.2</v>
      </c>
      <c r="I17" s="105">
        <f t="shared" si="33"/>
        <v>1.22</v>
      </c>
      <c r="J17" s="151"/>
      <c r="K17" s="151"/>
      <c r="L17" s="113">
        <v>8</v>
      </c>
      <c r="M17" s="113">
        <v>10</v>
      </c>
      <c r="N17" s="113">
        <v>4</v>
      </c>
      <c r="O17" s="150">
        <f t="shared" si="34"/>
        <v>22</v>
      </c>
      <c r="P17" s="110">
        <f t="shared" si="35"/>
        <v>0</v>
      </c>
      <c r="Q17" s="121">
        <f t="shared" si="36"/>
        <v>0</v>
      </c>
      <c r="R17" s="121">
        <f t="shared" si="37"/>
        <v>40899.7333333333</v>
      </c>
      <c r="S17" s="121">
        <f t="shared" si="38"/>
        <v>51124.6666666667</v>
      </c>
      <c r="T17" s="121">
        <f t="shared" si="39"/>
        <v>20449.8666666667</v>
      </c>
      <c r="U17" s="121">
        <f t="shared" si="40"/>
        <v>112474.266666667</v>
      </c>
      <c r="V17" s="122"/>
      <c r="W17" s="121">
        <f t="shared" si="41"/>
        <v>0</v>
      </c>
      <c r="X17" s="121">
        <f t="shared" si="42"/>
        <v>112474.266666667</v>
      </c>
      <c r="Y17" s="122"/>
      <c r="Z17" s="121">
        <f t="shared" si="43"/>
        <v>0</v>
      </c>
      <c r="AA17" s="123"/>
      <c r="AB17" s="93">
        <f t="shared" si="44"/>
        <v>0</v>
      </c>
      <c r="AC17" s="110"/>
      <c r="AD17" s="110">
        <f t="shared" si="45"/>
        <v>0</v>
      </c>
      <c r="AE17" s="122"/>
      <c r="AF17" s="93">
        <f t="shared" si="46"/>
        <v>0</v>
      </c>
      <c r="AG17" s="122"/>
      <c r="AH17" s="126">
        <f t="shared" si="47"/>
        <v>0</v>
      </c>
      <c r="AI17" s="122"/>
      <c r="AJ17" s="127">
        <f t="shared" si="48"/>
        <v>0</v>
      </c>
      <c r="AK17" s="95">
        <f t="shared" si="49"/>
        <v>0</v>
      </c>
      <c r="AL17" s="93">
        <f t="shared" si="50"/>
        <v>0</v>
      </c>
      <c r="AM17" s="128"/>
      <c r="AN17" s="110">
        <f t="shared" si="51"/>
        <v>0</v>
      </c>
      <c r="AO17" s="123"/>
      <c r="AP17" s="130">
        <f t="shared" si="52"/>
        <v>0</v>
      </c>
      <c r="AQ17" s="110"/>
      <c r="AR17" s="110">
        <f t="shared" si="53"/>
        <v>0</v>
      </c>
      <c r="AS17" s="122"/>
      <c r="AT17" s="110">
        <f t="shared" si="54"/>
        <v>0</v>
      </c>
      <c r="AU17" s="122"/>
      <c r="AV17" s="110">
        <f t="shared" si="55"/>
        <v>0</v>
      </c>
      <c r="AW17" s="128"/>
      <c r="AX17" s="110">
        <f t="shared" si="56"/>
        <v>0</v>
      </c>
      <c r="AY17" s="122"/>
      <c r="AZ17" s="126">
        <f t="shared" si="57"/>
        <v>0</v>
      </c>
      <c r="BA17" s="110"/>
      <c r="BB17" s="110">
        <f t="shared" si="58"/>
        <v>0</v>
      </c>
      <c r="BC17" s="110"/>
      <c r="BD17" s="126">
        <f t="shared" si="59"/>
        <v>0</v>
      </c>
      <c r="BE17" s="130">
        <f t="shared" si="60"/>
        <v>22</v>
      </c>
      <c r="BF17" s="133">
        <f t="shared" si="61"/>
        <v>33742.28</v>
      </c>
      <c r="BG17" s="134">
        <f t="shared" si="62"/>
        <v>33742.28</v>
      </c>
      <c r="BH17" s="121">
        <f t="shared" si="63"/>
        <v>33742.28</v>
      </c>
      <c r="BI17" s="121">
        <f t="shared" si="64"/>
        <v>404907.36</v>
      </c>
    </row>
    <row r="18" ht="18.75" customHeight="1" spans="1:61">
      <c r="A18" s="82">
        <v>11</v>
      </c>
      <c r="B18" s="145" t="s">
        <v>84</v>
      </c>
      <c r="C18" s="15" t="s">
        <v>58</v>
      </c>
      <c r="D18" s="15" t="s">
        <v>59</v>
      </c>
      <c r="E18" s="136" t="s">
        <v>78</v>
      </c>
      <c r="F18" s="18" t="s">
        <v>87</v>
      </c>
      <c r="G18" s="146">
        <v>19.4</v>
      </c>
      <c r="H18" s="139">
        <v>5.03</v>
      </c>
      <c r="I18" s="105">
        <f t="shared" si="33"/>
        <v>1.22</v>
      </c>
      <c r="J18" s="151"/>
      <c r="K18" s="151"/>
      <c r="L18" s="113">
        <v>22</v>
      </c>
      <c r="M18" s="113"/>
      <c r="N18" s="113"/>
      <c r="O18" s="150">
        <f t="shared" si="34"/>
        <v>22</v>
      </c>
      <c r="P18" s="110">
        <f t="shared" si="35"/>
        <v>0</v>
      </c>
      <c r="Q18" s="121">
        <f t="shared" si="36"/>
        <v>0</v>
      </c>
      <c r="R18" s="121">
        <f t="shared" si="37"/>
        <v>108797.223333333</v>
      </c>
      <c r="S18" s="121">
        <f t="shared" si="38"/>
        <v>0</v>
      </c>
      <c r="T18" s="121">
        <f t="shared" si="39"/>
        <v>0</v>
      </c>
      <c r="U18" s="121">
        <f t="shared" si="40"/>
        <v>108797.223333333</v>
      </c>
      <c r="V18" s="122"/>
      <c r="W18" s="121">
        <f t="shared" si="41"/>
        <v>0</v>
      </c>
      <c r="X18" s="121">
        <f t="shared" si="42"/>
        <v>108797.223333333</v>
      </c>
      <c r="Y18" s="122"/>
      <c r="Z18" s="121">
        <f t="shared" si="43"/>
        <v>0</v>
      </c>
      <c r="AA18" s="123"/>
      <c r="AB18" s="93">
        <f t="shared" si="44"/>
        <v>0</v>
      </c>
      <c r="AC18" s="110"/>
      <c r="AD18" s="110">
        <f t="shared" si="45"/>
        <v>0</v>
      </c>
      <c r="AE18" s="122"/>
      <c r="AF18" s="93">
        <f t="shared" si="46"/>
        <v>0</v>
      </c>
      <c r="AG18" s="122"/>
      <c r="AH18" s="126">
        <f t="shared" si="47"/>
        <v>0</v>
      </c>
      <c r="AI18" s="122"/>
      <c r="AJ18" s="127">
        <f t="shared" si="48"/>
        <v>0</v>
      </c>
      <c r="AK18" s="95">
        <f t="shared" si="49"/>
        <v>0</v>
      </c>
      <c r="AL18" s="93">
        <f t="shared" si="50"/>
        <v>0</v>
      </c>
      <c r="AM18" s="128"/>
      <c r="AN18" s="110">
        <f t="shared" si="51"/>
        <v>0</v>
      </c>
      <c r="AO18" s="123"/>
      <c r="AP18" s="130">
        <f t="shared" si="52"/>
        <v>0</v>
      </c>
      <c r="AQ18" s="110"/>
      <c r="AR18" s="110">
        <f t="shared" si="53"/>
        <v>0</v>
      </c>
      <c r="AS18" s="122"/>
      <c r="AT18" s="110">
        <f t="shared" si="54"/>
        <v>0</v>
      </c>
      <c r="AU18" s="122"/>
      <c r="AV18" s="110">
        <f t="shared" si="55"/>
        <v>0</v>
      </c>
      <c r="AW18" s="128"/>
      <c r="AX18" s="110">
        <f t="shared" si="56"/>
        <v>0</v>
      </c>
      <c r="AY18" s="122"/>
      <c r="AZ18" s="126">
        <f t="shared" si="57"/>
        <v>0</v>
      </c>
      <c r="BA18" s="110"/>
      <c r="BB18" s="110">
        <f t="shared" si="58"/>
        <v>0</v>
      </c>
      <c r="BC18" s="110"/>
      <c r="BD18" s="126">
        <f t="shared" si="59"/>
        <v>0</v>
      </c>
      <c r="BE18" s="130">
        <f t="shared" si="60"/>
        <v>22</v>
      </c>
      <c r="BF18" s="133">
        <f t="shared" si="61"/>
        <v>32639.167</v>
      </c>
      <c r="BG18" s="134">
        <f t="shared" si="62"/>
        <v>32639.167</v>
      </c>
      <c r="BH18" s="121">
        <f t="shared" si="63"/>
        <v>32639.167</v>
      </c>
      <c r="BI18" s="121">
        <f t="shared" si="64"/>
        <v>391670.004</v>
      </c>
    </row>
    <row r="19" ht="18.75" customHeight="1" spans="1:61">
      <c r="A19" s="82">
        <v>13</v>
      </c>
      <c r="B19" s="15" t="s">
        <v>85</v>
      </c>
      <c r="C19" s="15" t="s">
        <v>86</v>
      </c>
      <c r="D19" s="15" t="s">
        <v>59</v>
      </c>
      <c r="E19" s="136" t="s">
        <v>78</v>
      </c>
      <c r="F19" s="18" t="s">
        <v>87</v>
      </c>
      <c r="G19" s="146">
        <v>11.3</v>
      </c>
      <c r="H19" s="139">
        <v>4.86</v>
      </c>
      <c r="I19" s="105">
        <f t="shared" si="33"/>
        <v>1.53</v>
      </c>
      <c r="J19" s="151"/>
      <c r="K19" s="151"/>
      <c r="L19" s="113"/>
      <c r="M19" s="113">
        <v>20</v>
      </c>
      <c r="N19" s="113">
        <v>7.5</v>
      </c>
      <c r="O19" s="150">
        <f t="shared" si="34"/>
        <v>27.5</v>
      </c>
      <c r="P19" s="110">
        <f t="shared" si="35"/>
        <v>0</v>
      </c>
      <c r="Q19" s="121">
        <f t="shared" si="36"/>
        <v>0</v>
      </c>
      <c r="R19" s="121">
        <f t="shared" si="37"/>
        <v>0</v>
      </c>
      <c r="S19" s="121">
        <f t="shared" si="38"/>
        <v>95563.8</v>
      </c>
      <c r="T19" s="121">
        <f t="shared" si="39"/>
        <v>35836.425</v>
      </c>
      <c r="U19" s="121">
        <f t="shared" si="40"/>
        <v>131400.225</v>
      </c>
      <c r="V19" s="122"/>
      <c r="W19" s="121">
        <f t="shared" si="41"/>
        <v>0</v>
      </c>
      <c r="X19" s="121">
        <f t="shared" si="42"/>
        <v>131400.225</v>
      </c>
      <c r="Y19" s="122"/>
      <c r="Z19" s="121">
        <f t="shared" si="43"/>
        <v>0</v>
      </c>
      <c r="AA19" s="123"/>
      <c r="AB19" s="93">
        <f t="shared" si="44"/>
        <v>0</v>
      </c>
      <c r="AC19" s="110"/>
      <c r="AD19" s="110">
        <f t="shared" si="45"/>
        <v>0</v>
      </c>
      <c r="AE19" s="122"/>
      <c r="AF19" s="93">
        <f t="shared" si="46"/>
        <v>0</v>
      </c>
      <c r="AG19" s="122"/>
      <c r="AH19" s="126">
        <f t="shared" si="47"/>
        <v>0</v>
      </c>
      <c r="AI19" s="122"/>
      <c r="AJ19" s="127">
        <f t="shared" si="48"/>
        <v>0</v>
      </c>
      <c r="AK19" s="95">
        <f t="shared" si="49"/>
        <v>0</v>
      </c>
      <c r="AL19" s="93">
        <f t="shared" si="50"/>
        <v>0</v>
      </c>
      <c r="AM19" s="128"/>
      <c r="AN19" s="110">
        <f t="shared" si="51"/>
        <v>0</v>
      </c>
      <c r="AO19" s="123"/>
      <c r="AP19" s="130">
        <f t="shared" si="52"/>
        <v>0</v>
      </c>
      <c r="AQ19" s="110"/>
      <c r="AR19" s="110">
        <f t="shared" si="53"/>
        <v>0</v>
      </c>
      <c r="AS19" s="122"/>
      <c r="AT19" s="110">
        <f t="shared" si="54"/>
        <v>0</v>
      </c>
      <c r="AU19" s="122"/>
      <c r="AV19" s="110">
        <f t="shared" si="55"/>
        <v>0</v>
      </c>
      <c r="AW19" s="128"/>
      <c r="AX19" s="110">
        <f t="shared" si="56"/>
        <v>0</v>
      </c>
      <c r="AY19" s="122"/>
      <c r="AZ19" s="126">
        <f t="shared" si="57"/>
        <v>0</v>
      </c>
      <c r="BA19" s="110"/>
      <c r="BB19" s="110">
        <f t="shared" si="58"/>
        <v>0</v>
      </c>
      <c r="BC19" s="110"/>
      <c r="BD19" s="126">
        <f t="shared" si="59"/>
        <v>0</v>
      </c>
      <c r="BE19" s="130">
        <f t="shared" si="60"/>
        <v>27.5</v>
      </c>
      <c r="BF19" s="133">
        <f t="shared" si="61"/>
        <v>39420.0675</v>
      </c>
      <c r="BG19" s="134">
        <f t="shared" si="62"/>
        <v>39420.0675</v>
      </c>
      <c r="BH19" s="121">
        <f t="shared" si="63"/>
        <v>39420.0675</v>
      </c>
      <c r="BI19" s="121">
        <f t="shared" si="64"/>
        <v>473040.81</v>
      </c>
    </row>
    <row r="20" ht="18.75" customHeight="1" spans="1:61">
      <c r="A20" s="82">
        <v>14</v>
      </c>
      <c r="B20" s="15" t="s">
        <v>90</v>
      </c>
      <c r="C20" s="15" t="s">
        <v>91</v>
      </c>
      <c r="D20" s="15" t="s">
        <v>59</v>
      </c>
      <c r="E20" s="136" t="s">
        <v>78</v>
      </c>
      <c r="F20" s="18" t="s">
        <v>87</v>
      </c>
      <c r="G20" s="86">
        <v>17</v>
      </c>
      <c r="H20" s="84">
        <v>5.03</v>
      </c>
      <c r="I20" s="105">
        <f t="shared" si="33"/>
        <v>0.61</v>
      </c>
      <c r="J20" s="151"/>
      <c r="K20" s="151"/>
      <c r="L20" s="113"/>
      <c r="M20" s="113">
        <v>7</v>
      </c>
      <c r="N20" s="113">
        <v>4</v>
      </c>
      <c r="O20" s="152">
        <f t="shared" si="34"/>
        <v>11</v>
      </c>
      <c r="P20" s="110">
        <f t="shared" si="35"/>
        <v>0</v>
      </c>
      <c r="Q20" s="121">
        <f t="shared" si="36"/>
        <v>0</v>
      </c>
      <c r="R20" s="121">
        <f t="shared" si="37"/>
        <v>0</v>
      </c>
      <c r="S20" s="121">
        <f t="shared" si="38"/>
        <v>34617.2983333333</v>
      </c>
      <c r="T20" s="121">
        <f t="shared" si="39"/>
        <v>19781.3133333333</v>
      </c>
      <c r="U20" s="121">
        <f t="shared" si="40"/>
        <v>54398.6116666667</v>
      </c>
      <c r="V20" s="122"/>
      <c r="W20" s="121">
        <f t="shared" si="41"/>
        <v>0</v>
      </c>
      <c r="X20" s="121">
        <f t="shared" si="42"/>
        <v>54398.6116666667</v>
      </c>
      <c r="Y20" s="122"/>
      <c r="Z20" s="121"/>
      <c r="AA20" s="123"/>
      <c r="AB20" s="93"/>
      <c r="AC20" s="110"/>
      <c r="AD20" s="110"/>
      <c r="AE20" s="122"/>
      <c r="AF20" s="93"/>
      <c r="AG20" s="122"/>
      <c r="AH20" s="126"/>
      <c r="AI20" s="122"/>
      <c r="AJ20" s="127"/>
      <c r="AK20" s="95"/>
      <c r="AL20" s="93"/>
      <c r="AM20" s="128"/>
      <c r="AN20" s="110"/>
      <c r="AO20" s="123"/>
      <c r="AP20" s="130"/>
      <c r="AQ20" s="110"/>
      <c r="AR20" s="110"/>
      <c r="AS20" s="122"/>
      <c r="AT20" s="110"/>
      <c r="AU20" s="122"/>
      <c r="AV20" s="110"/>
      <c r="AW20" s="128"/>
      <c r="AX20" s="110"/>
      <c r="AY20" s="122"/>
      <c r="AZ20" s="126"/>
      <c r="BA20" s="110"/>
      <c r="BB20" s="110"/>
      <c r="BC20" s="110"/>
      <c r="BD20" s="126"/>
      <c r="BE20" s="135">
        <v>6.5</v>
      </c>
      <c r="BF20" s="133">
        <f t="shared" si="61"/>
        <v>9643.39025</v>
      </c>
      <c r="BG20" s="134">
        <f t="shared" si="62"/>
        <v>9643.39025</v>
      </c>
      <c r="BH20" s="121">
        <f t="shared" si="63"/>
        <v>9643.39025</v>
      </c>
      <c r="BI20" s="121">
        <f t="shared" si="64"/>
        <v>115720.683</v>
      </c>
    </row>
    <row r="21" ht="18.75" customHeight="1" spans="1:61">
      <c r="A21" s="82">
        <v>15</v>
      </c>
      <c r="B21" s="15" t="s">
        <v>92</v>
      </c>
      <c r="C21" s="15" t="s">
        <v>91</v>
      </c>
      <c r="D21" s="15" t="s">
        <v>59</v>
      </c>
      <c r="E21" s="136" t="s">
        <v>78</v>
      </c>
      <c r="F21" s="18" t="s">
        <v>87</v>
      </c>
      <c r="G21" s="86" t="s">
        <v>350</v>
      </c>
      <c r="H21" s="84">
        <v>5.12</v>
      </c>
      <c r="I21" s="105">
        <f t="shared" si="33"/>
        <v>0.61</v>
      </c>
      <c r="J21" s="151"/>
      <c r="K21" s="151"/>
      <c r="L21" s="113"/>
      <c r="M21" s="113">
        <v>10</v>
      </c>
      <c r="N21" s="113">
        <v>1</v>
      </c>
      <c r="O21" s="150">
        <f t="shared" si="34"/>
        <v>11</v>
      </c>
      <c r="P21" s="110">
        <f t="shared" si="35"/>
        <v>0</v>
      </c>
      <c r="Q21" s="121">
        <f t="shared" si="36"/>
        <v>0</v>
      </c>
      <c r="R21" s="121">
        <f t="shared" si="37"/>
        <v>0</v>
      </c>
      <c r="S21" s="121">
        <f t="shared" si="38"/>
        <v>50338.1333333333</v>
      </c>
      <c r="T21" s="121">
        <f t="shared" si="39"/>
        <v>5033.81333333333</v>
      </c>
      <c r="U21" s="121">
        <f t="shared" si="40"/>
        <v>55371.9466666667</v>
      </c>
      <c r="V21" s="122"/>
      <c r="W21" s="121">
        <f t="shared" si="41"/>
        <v>0</v>
      </c>
      <c r="X21" s="121">
        <f t="shared" si="42"/>
        <v>55371.9466666667</v>
      </c>
      <c r="Y21" s="122"/>
      <c r="Z21" s="121"/>
      <c r="AA21" s="123"/>
      <c r="AB21" s="93"/>
      <c r="AC21" s="110"/>
      <c r="AD21" s="110"/>
      <c r="AE21" s="122"/>
      <c r="AF21" s="93"/>
      <c r="AG21" s="122"/>
      <c r="AH21" s="126"/>
      <c r="AI21" s="122"/>
      <c r="AJ21" s="127"/>
      <c r="AK21" s="95"/>
      <c r="AL21" s="93"/>
      <c r="AM21" s="128"/>
      <c r="AN21" s="110"/>
      <c r="AO21" s="123"/>
      <c r="AP21" s="130"/>
      <c r="AQ21" s="110"/>
      <c r="AR21" s="110"/>
      <c r="AS21" s="122"/>
      <c r="AT21" s="110"/>
      <c r="AU21" s="122"/>
      <c r="AV21" s="110"/>
      <c r="AW21" s="128"/>
      <c r="AX21" s="110"/>
      <c r="AY21" s="122"/>
      <c r="AZ21" s="126"/>
      <c r="BA21" s="110"/>
      <c r="BB21" s="110"/>
      <c r="BC21" s="110"/>
      <c r="BD21" s="126"/>
      <c r="BE21" s="135">
        <v>9</v>
      </c>
      <c r="BF21" s="133">
        <f t="shared" si="61"/>
        <v>13591.296</v>
      </c>
      <c r="BG21" s="134">
        <f t="shared" si="62"/>
        <v>13591.296</v>
      </c>
      <c r="BH21" s="121">
        <f t="shared" si="63"/>
        <v>13591.296</v>
      </c>
      <c r="BI21" s="121">
        <f t="shared" si="64"/>
        <v>163095.552</v>
      </c>
    </row>
    <row r="22" ht="18.75" customHeight="1" spans="1:61">
      <c r="A22" s="82">
        <v>16</v>
      </c>
      <c r="B22" s="15" t="s">
        <v>262</v>
      </c>
      <c r="C22" s="15" t="s">
        <v>259</v>
      </c>
      <c r="D22" s="15" t="s">
        <v>59</v>
      </c>
      <c r="E22" s="136" t="s">
        <v>78</v>
      </c>
      <c r="F22" s="18" t="s">
        <v>87</v>
      </c>
      <c r="G22" s="86">
        <v>11.8</v>
      </c>
      <c r="H22" s="139">
        <v>4.86</v>
      </c>
      <c r="I22" s="105">
        <f t="shared" si="33"/>
        <v>1.06</v>
      </c>
      <c r="J22" s="151"/>
      <c r="K22" s="151"/>
      <c r="L22" s="113">
        <v>19</v>
      </c>
      <c r="M22" s="113"/>
      <c r="N22" s="113"/>
      <c r="O22" s="150">
        <f t="shared" si="34"/>
        <v>19</v>
      </c>
      <c r="P22" s="110">
        <f t="shared" si="35"/>
        <v>0</v>
      </c>
      <c r="Q22" s="121">
        <f t="shared" si="36"/>
        <v>0</v>
      </c>
      <c r="R22" s="121">
        <f t="shared" si="37"/>
        <v>90785.61</v>
      </c>
      <c r="S22" s="121">
        <f t="shared" si="38"/>
        <v>0</v>
      </c>
      <c r="T22" s="121">
        <f t="shared" si="39"/>
        <v>0</v>
      </c>
      <c r="U22" s="121">
        <f t="shared" si="40"/>
        <v>90785.61</v>
      </c>
      <c r="V22" s="122"/>
      <c r="W22" s="121">
        <f t="shared" si="41"/>
        <v>0</v>
      </c>
      <c r="X22" s="121">
        <f t="shared" si="42"/>
        <v>90785.61</v>
      </c>
      <c r="Y22" s="122"/>
      <c r="Z22" s="121"/>
      <c r="AA22" s="123"/>
      <c r="AB22" s="93"/>
      <c r="AC22" s="110"/>
      <c r="AD22" s="110"/>
      <c r="AE22" s="122"/>
      <c r="AF22" s="93"/>
      <c r="AG22" s="122"/>
      <c r="AH22" s="126"/>
      <c r="AI22" s="122"/>
      <c r="AJ22" s="127"/>
      <c r="AK22" s="95"/>
      <c r="AL22" s="93"/>
      <c r="AM22" s="128"/>
      <c r="AN22" s="110"/>
      <c r="AO22" s="123"/>
      <c r="AP22" s="130"/>
      <c r="AQ22" s="110"/>
      <c r="AR22" s="110"/>
      <c r="AS22" s="122"/>
      <c r="AT22" s="110"/>
      <c r="AU22" s="122"/>
      <c r="AV22" s="110"/>
      <c r="AW22" s="128"/>
      <c r="AX22" s="110"/>
      <c r="AY22" s="122"/>
      <c r="AZ22" s="126"/>
      <c r="BA22" s="110"/>
      <c r="BB22" s="110"/>
      <c r="BC22" s="110"/>
      <c r="BD22" s="126"/>
      <c r="BE22" s="135">
        <v>16</v>
      </c>
      <c r="BF22" s="133">
        <f t="shared" si="61"/>
        <v>22935.312</v>
      </c>
      <c r="BG22" s="134">
        <f t="shared" si="62"/>
        <v>22935.312</v>
      </c>
      <c r="BH22" s="121">
        <f t="shared" si="63"/>
        <v>22935.312</v>
      </c>
      <c r="BI22" s="121">
        <f t="shared" si="64"/>
        <v>275223.744</v>
      </c>
    </row>
    <row r="23" ht="18.75" customHeight="1" spans="1:61">
      <c r="A23" s="82">
        <v>17</v>
      </c>
      <c r="B23" s="15" t="s">
        <v>94</v>
      </c>
      <c r="C23" s="15" t="s">
        <v>68</v>
      </c>
      <c r="D23" s="15" t="s">
        <v>59</v>
      </c>
      <c r="E23" s="136" t="s">
        <v>78</v>
      </c>
      <c r="F23" s="18">
        <v>1</v>
      </c>
      <c r="G23" s="86">
        <v>35.4</v>
      </c>
      <c r="H23" s="139">
        <v>5.2</v>
      </c>
      <c r="I23" s="105">
        <f t="shared" si="33"/>
        <v>0.61</v>
      </c>
      <c r="J23" s="151"/>
      <c r="K23" s="151"/>
      <c r="L23" s="153"/>
      <c r="M23" s="154">
        <v>5</v>
      </c>
      <c r="N23" s="154">
        <v>6</v>
      </c>
      <c r="O23" s="150">
        <f t="shared" si="34"/>
        <v>11</v>
      </c>
      <c r="P23" s="110">
        <f t="shared" si="35"/>
        <v>0</v>
      </c>
      <c r="Q23" s="121">
        <f t="shared" si="36"/>
        <v>0</v>
      </c>
      <c r="R23" s="121">
        <f t="shared" si="37"/>
        <v>0</v>
      </c>
      <c r="S23" s="121">
        <f t="shared" si="38"/>
        <v>25562.3333333333</v>
      </c>
      <c r="T23" s="121">
        <f t="shared" si="39"/>
        <v>30674.8</v>
      </c>
      <c r="U23" s="121">
        <f t="shared" si="40"/>
        <v>56237.1333333333</v>
      </c>
      <c r="V23" s="122"/>
      <c r="W23" s="121">
        <f t="shared" si="41"/>
        <v>0</v>
      </c>
      <c r="X23" s="121">
        <f t="shared" si="42"/>
        <v>56237.1333333333</v>
      </c>
      <c r="Y23" s="122"/>
      <c r="Z23" s="121"/>
      <c r="AA23" s="123"/>
      <c r="AB23" s="93"/>
      <c r="AC23" s="110"/>
      <c r="AD23" s="110"/>
      <c r="AE23" s="122"/>
      <c r="AF23" s="93"/>
      <c r="AG23" s="122"/>
      <c r="AH23" s="126"/>
      <c r="AI23" s="122"/>
      <c r="AJ23" s="127"/>
      <c r="AK23" s="95"/>
      <c r="AL23" s="93"/>
      <c r="AM23" s="128"/>
      <c r="AN23" s="110"/>
      <c r="AO23" s="123"/>
      <c r="AP23" s="130"/>
      <c r="AQ23" s="110"/>
      <c r="AR23" s="110"/>
      <c r="AS23" s="122"/>
      <c r="AT23" s="110"/>
      <c r="AU23" s="122"/>
      <c r="AV23" s="110"/>
      <c r="AW23" s="128"/>
      <c r="AX23" s="110"/>
      <c r="AY23" s="122"/>
      <c r="AZ23" s="126"/>
      <c r="BA23" s="110"/>
      <c r="BB23" s="110"/>
      <c r="BC23" s="110"/>
      <c r="BD23" s="126"/>
      <c r="BE23" s="130">
        <v>7</v>
      </c>
      <c r="BF23" s="133">
        <f t="shared" si="61"/>
        <v>10736.18</v>
      </c>
      <c r="BG23" s="134">
        <f t="shared" si="62"/>
        <v>10736.18</v>
      </c>
      <c r="BH23" s="121">
        <f t="shared" si="63"/>
        <v>10736.18</v>
      </c>
      <c r="BI23" s="121">
        <f t="shared" si="64"/>
        <v>128834.16</v>
      </c>
    </row>
    <row r="24" ht="18.75" customHeight="1" spans="1:61">
      <c r="A24" s="82">
        <v>18</v>
      </c>
      <c r="B24" s="15" t="s">
        <v>263</v>
      </c>
      <c r="C24" s="15" t="s">
        <v>259</v>
      </c>
      <c r="D24" s="15" t="s">
        <v>59</v>
      </c>
      <c r="E24" s="136" t="s">
        <v>78</v>
      </c>
      <c r="F24" s="18" t="s">
        <v>80</v>
      </c>
      <c r="G24" s="86">
        <v>8.8</v>
      </c>
      <c r="H24" s="139">
        <v>4.79</v>
      </c>
      <c r="I24" s="105">
        <f t="shared" si="33"/>
        <v>1.06</v>
      </c>
      <c r="J24" s="151"/>
      <c r="K24" s="151"/>
      <c r="L24" s="113">
        <v>19</v>
      </c>
      <c r="M24" s="113"/>
      <c r="N24" s="113"/>
      <c r="O24" s="150">
        <f t="shared" si="34"/>
        <v>19</v>
      </c>
      <c r="P24" s="110">
        <f t="shared" si="35"/>
        <v>0</v>
      </c>
      <c r="Q24" s="121">
        <f t="shared" si="36"/>
        <v>0</v>
      </c>
      <c r="R24" s="121">
        <f t="shared" si="37"/>
        <v>89477.9983333333</v>
      </c>
      <c r="S24" s="121">
        <f t="shared" si="38"/>
        <v>0</v>
      </c>
      <c r="T24" s="121">
        <f t="shared" si="39"/>
        <v>0</v>
      </c>
      <c r="U24" s="121">
        <f t="shared" si="40"/>
        <v>89477.9983333333</v>
      </c>
      <c r="V24" s="122"/>
      <c r="W24" s="121">
        <f t="shared" si="41"/>
        <v>0</v>
      </c>
      <c r="X24" s="121">
        <f t="shared" si="42"/>
        <v>89477.9983333333</v>
      </c>
      <c r="Y24" s="122"/>
      <c r="Z24" s="121"/>
      <c r="AA24" s="123"/>
      <c r="AB24" s="93"/>
      <c r="AC24" s="110"/>
      <c r="AD24" s="110"/>
      <c r="AE24" s="122"/>
      <c r="AF24" s="93"/>
      <c r="AG24" s="122"/>
      <c r="AH24" s="126"/>
      <c r="AI24" s="122"/>
      <c r="AJ24" s="127"/>
      <c r="AK24" s="95"/>
      <c r="AL24" s="93"/>
      <c r="AM24" s="128"/>
      <c r="AN24" s="110"/>
      <c r="AO24" s="123"/>
      <c r="AP24" s="130"/>
      <c r="AQ24" s="110"/>
      <c r="AR24" s="110"/>
      <c r="AS24" s="122"/>
      <c r="AT24" s="110">
        <f>SUM($H$4*$H24*AS24/18)</f>
        <v>0</v>
      </c>
      <c r="AU24" s="122"/>
      <c r="AV24" s="110">
        <f>SUM($H$4*$H24*AU24/18)*0.7</f>
        <v>0</v>
      </c>
      <c r="AW24" s="128"/>
      <c r="AX24" s="110">
        <f>SUM($H$4*$H24*AW24/18)*0.3</f>
        <v>0</v>
      </c>
      <c r="AY24" s="122"/>
      <c r="AZ24" s="126"/>
      <c r="BA24" s="110"/>
      <c r="BB24" s="110"/>
      <c r="BC24" s="110"/>
      <c r="BD24" s="126"/>
      <c r="BE24" s="130">
        <v>18</v>
      </c>
      <c r="BF24" s="133">
        <f t="shared" si="61"/>
        <v>25430.589</v>
      </c>
      <c r="BG24" s="134">
        <f t="shared" si="62"/>
        <v>25430.589</v>
      </c>
      <c r="BH24" s="121">
        <f t="shared" si="63"/>
        <v>25430.589</v>
      </c>
      <c r="BI24" s="121">
        <f t="shared" si="64"/>
        <v>305167.068</v>
      </c>
    </row>
    <row r="25" ht="18.75" customHeight="1" spans="1:61">
      <c r="A25" s="82">
        <v>19</v>
      </c>
      <c r="B25" s="145" t="s">
        <v>351</v>
      </c>
      <c r="C25" s="16" t="s">
        <v>65</v>
      </c>
      <c r="D25" s="15" t="s">
        <v>59</v>
      </c>
      <c r="E25" s="136" t="s">
        <v>78</v>
      </c>
      <c r="F25" s="18" t="s">
        <v>80</v>
      </c>
      <c r="G25" s="146">
        <v>14.4</v>
      </c>
      <c r="H25" s="139">
        <v>4.95</v>
      </c>
      <c r="I25" s="105">
        <f t="shared" si="33"/>
        <v>0.72</v>
      </c>
      <c r="J25" s="151"/>
      <c r="K25" s="151"/>
      <c r="L25" s="113"/>
      <c r="M25" s="113">
        <v>10</v>
      </c>
      <c r="N25" s="113">
        <v>3</v>
      </c>
      <c r="O25" s="150">
        <f t="shared" si="34"/>
        <v>13</v>
      </c>
      <c r="P25" s="110">
        <f t="shared" si="35"/>
        <v>0</v>
      </c>
      <c r="Q25" s="121">
        <f t="shared" si="36"/>
        <v>0</v>
      </c>
      <c r="R25" s="121">
        <f t="shared" si="37"/>
        <v>0</v>
      </c>
      <c r="S25" s="121">
        <f t="shared" si="38"/>
        <v>48666.75</v>
      </c>
      <c r="T25" s="121">
        <f t="shared" si="39"/>
        <v>14600.025</v>
      </c>
      <c r="U25" s="121">
        <f t="shared" si="40"/>
        <v>63266.775</v>
      </c>
      <c r="V25" s="122"/>
      <c r="W25" s="121">
        <f t="shared" si="41"/>
        <v>0</v>
      </c>
      <c r="X25" s="121">
        <f t="shared" si="42"/>
        <v>63266.775</v>
      </c>
      <c r="Y25" s="122"/>
      <c r="Z25" s="121">
        <f t="shared" si="43"/>
        <v>0</v>
      </c>
      <c r="AA25" s="123"/>
      <c r="AB25" s="93">
        <f t="shared" si="44"/>
        <v>0</v>
      </c>
      <c r="AC25" s="110"/>
      <c r="AD25" s="110">
        <f t="shared" si="45"/>
        <v>0</v>
      </c>
      <c r="AE25" s="122"/>
      <c r="AF25" s="93">
        <f t="shared" si="46"/>
        <v>0</v>
      </c>
      <c r="AG25" s="122"/>
      <c r="AH25" s="126">
        <f t="shared" si="47"/>
        <v>0</v>
      </c>
      <c r="AI25" s="122"/>
      <c r="AJ25" s="127">
        <f t="shared" si="48"/>
        <v>0</v>
      </c>
      <c r="AK25" s="95">
        <f t="shared" si="49"/>
        <v>0</v>
      </c>
      <c r="AL25" s="93">
        <f t="shared" si="50"/>
        <v>0</v>
      </c>
      <c r="AM25" s="128"/>
      <c r="AN25" s="110">
        <f t="shared" si="51"/>
        <v>0</v>
      </c>
      <c r="AO25" s="123"/>
      <c r="AP25" s="130">
        <f t="shared" si="52"/>
        <v>0</v>
      </c>
      <c r="AQ25" s="110"/>
      <c r="AR25" s="110">
        <f t="shared" si="53"/>
        <v>0</v>
      </c>
      <c r="AS25" s="122"/>
      <c r="AT25" s="110">
        <f t="shared" si="54"/>
        <v>0</v>
      </c>
      <c r="AU25" s="122"/>
      <c r="AV25" s="110">
        <f t="shared" si="55"/>
        <v>0</v>
      </c>
      <c r="AW25" s="128"/>
      <c r="AX25" s="110">
        <f t="shared" si="56"/>
        <v>0</v>
      </c>
      <c r="AY25" s="122"/>
      <c r="AZ25" s="126">
        <f t="shared" si="57"/>
        <v>0</v>
      </c>
      <c r="BA25" s="110"/>
      <c r="BB25" s="110">
        <f t="shared" si="58"/>
        <v>0</v>
      </c>
      <c r="BC25" s="110"/>
      <c r="BD25" s="126">
        <f t="shared" si="59"/>
        <v>0</v>
      </c>
      <c r="BE25" s="130">
        <f t="shared" si="60"/>
        <v>13</v>
      </c>
      <c r="BF25" s="133">
        <f t="shared" si="61"/>
        <v>18980.0325</v>
      </c>
      <c r="BG25" s="134">
        <f t="shared" si="62"/>
        <v>18980.0325</v>
      </c>
      <c r="BH25" s="121">
        <f t="shared" si="63"/>
        <v>18980.0325</v>
      </c>
      <c r="BI25" s="121">
        <f t="shared" si="64"/>
        <v>227760.39</v>
      </c>
    </row>
    <row r="26" ht="18.75" customHeight="1" spans="1:61">
      <c r="A26" s="147"/>
      <c r="B26" s="88" t="s">
        <v>99</v>
      </c>
      <c r="C26" s="127"/>
      <c r="D26" s="127"/>
      <c r="E26" s="141"/>
      <c r="F26" s="142"/>
      <c r="G26" s="134"/>
      <c r="H26" s="93"/>
      <c r="I26" s="88">
        <f t="shared" ref="I26:AN26" si="65">SUM(I16:I25)</f>
        <v>9.81</v>
      </c>
      <c r="J26" s="88">
        <f t="shared" si="65"/>
        <v>0</v>
      </c>
      <c r="K26" s="88">
        <f t="shared" si="65"/>
        <v>0</v>
      </c>
      <c r="L26" s="88">
        <f t="shared" si="65"/>
        <v>68</v>
      </c>
      <c r="M26" s="88">
        <f t="shared" si="65"/>
        <v>79</v>
      </c>
      <c r="N26" s="88">
        <f t="shared" si="65"/>
        <v>29.5</v>
      </c>
      <c r="O26" s="88">
        <f t="shared" si="65"/>
        <v>176.5</v>
      </c>
      <c r="P26" s="88">
        <f t="shared" si="65"/>
        <v>0</v>
      </c>
      <c r="Q26" s="88">
        <f t="shared" si="65"/>
        <v>0</v>
      </c>
      <c r="R26" s="88">
        <f t="shared" si="65"/>
        <v>329960.565</v>
      </c>
      <c r="S26" s="88">
        <f t="shared" si="65"/>
        <v>392784.915</v>
      </c>
      <c r="T26" s="88">
        <f t="shared" si="65"/>
        <v>146826.11</v>
      </c>
      <c r="U26" s="88">
        <f t="shared" si="65"/>
        <v>869571.59</v>
      </c>
      <c r="V26" s="88">
        <f t="shared" si="65"/>
        <v>0</v>
      </c>
      <c r="W26" s="88">
        <f t="shared" si="65"/>
        <v>0</v>
      </c>
      <c r="X26" s="88">
        <f t="shared" si="65"/>
        <v>869571.59</v>
      </c>
      <c r="Y26" s="88">
        <f t="shared" si="65"/>
        <v>0</v>
      </c>
      <c r="Z26" s="88">
        <f t="shared" si="65"/>
        <v>0</v>
      </c>
      <c r="AA26" s="88">
        <f t="shared" si="65"/>
        <v>0</v>
      </c>
      <c r="AB26" s="88">
        <f t="shared" si="65"/>
        <v>0</v>
      </c>
      <c r="AC26" s="88">
        <f t="shared" si="65"/>
        <v>0</v>
      </c>
      <c r="AD26" s="88">
        <f t="shared" si="65"/>
        <v>0</v>
      </c>
      <c r="AE26" s="88">
        <f t="shared" si="65"/>
        <v>0</v>
      </c>
      <c r="AF26" s="88">
        <f t="shared" si="65"/>
        <v>0</v>
      </c>
      <c r="AG26" s="88">
        <f t="shared" si="65"/>
        <v>0</v>
      </c>
      <c r="AH26" s="88">
        <f t="shared" si="65"/>
        <v>0</v>
      </c>
      <c r="AI26" s="88">
        <f t="shared" si="65"/>
        <v>0</v>
      </c>
      <c r="AJ26" s="88">
        <f t="shared" si="65"/>
        <v>0</v>
      </c>
      <c r="AK26" s="88">
        <f t="shared" si="65"/>
        <v>0</v>
      </c>
      <c r="AL26" s="88">
        <f t="shared" si="65"/>
        <v>0</v>
      </c>
      <c r="AM26" s="88">
        <f t="shared" si="65"/>
        <v>0</v>
      </c>
      <c r="AN26" s="88">
        <f t="shared" si="65"/>
        <v>0</v>
      </c>
      <c r="AO26" s="88">
        <f t="shared" ref="AO26:BI26" si="66">SUM(AO16:AO25)</f>
        <v>0</v>
      </c>
      <c r="AP26" s="88">
        <f t="shared" si="66"/>
        <v>0</v>
      </c>
      <c r="AQ26" s="88">
        <f t="shared" si="66"/>
        <v>0</v>
      </c>
      <c r="AR26" s="88">
        <f t="shared" si="66"/>
        <v>0</v>
      </c>
      <c r="AS26" s="88">
        <f t="shared" si="66"/>
        <v>0</v>
      </c>
      <c r="AT26" s="88">
        <f t="shared" si="66"/>
        <v>0</v>
      </c>
      <c r="AU26" s="88">
        <f t="shared" si="66"/>
        <v>0</v>
      </c>
      <c r="AV26" s="88">
        <f t="shared" si="66"/>
        <v>0</v>
      </c>
      <c r="AW26" s="88">
        <f t="shared" si="66"/>
        <v>0</v>
      </c>
      <c r="AX26" s="88">
        <f t="shared" si="66"/>
        <v>0</v>
      </c>
      <c r="AY26" s="88">
        <f t="shared" si="66"/>
        <v>0</v>
      </c>
      <c r="AZ26" s="88">
        <f t="shared" si="66"/>
        <v>0</v>
      </c>
      <c r="BA26" s="88">
        <f t="shared" si="66"/>
        <v>0</v>
      </c>
      <c r="BB26" s="88">
        <f t="shared" si="66"/>
        <v>0</v>
      </c>
      <c r="BC26" s="88">
        <f t="shared" si="66"/>
        <v>0</v>
      </c>
      <c r="BD26" s="88">
        <f t="shared" si="66"/>
        <v>0</v>
      </c>
      <c r="BE26" s="162">
        <f t="shared" si="66"/>
        <v>162</v>
      </c>
      <c r="BF26" s="88">
        <f t="shared" si="66"/>
        <v>239326.85425</v>
      </c>
      <c r="BG26" s="88">
        <f t="shared" si="66"/>
        <v>239326.85425</v>
      </c>
      <c r="BH26" s="88">
        <f t="shared" si="66"/>
        <v>239326.85425</v>
      </c>
      <c r="BI26" s="88">
        <f t="shared" si="66"/>
        <v>2871922.251</v>
      </c>
    </row>
    <row r="27" ht="18.75" customHeight="1" spans="1:61">
      <c r="A27" s="82">
        <v>20</v>
      </c>
      <c r="B27" s="136" t="s">
        <v>100</v>
      </c>
      <c r="C27" s="15" t="s">
        <v>58</v>
      </c>
      <c r="D27" s="15" t="s">
        <v>59</v>
      </c>
      <c r="E27" s="17" t="s">
        <v>78</v>
      </c>
      <c r="F27" s="18" t="s">
        <v>80</v>
      </c>
      <c r="G27" s="86">
        <v>10.2</v>
      </c>
      <c r="H27" s="139">
        <v>4.86</v>
      </c>
      <c r="I27" s="105">
        <f t="shared" ref="I27:I33" si="67">ROUND((((J27+K27))/24)+(L27+M27+N27)/18,2)</f>
        <v>1.22</v>
      </c>
      <c r="J27" s="112"/>
      <c r="K27" s="112"/>
      <c r="L27" s="155">
        <v>22</v>
      </c>
      <c r="M27" s="113"/>
      <c r="N27" s="156"/>
      <c r="O27" s="150">
        <f t="shared" ref="O27:O33" si="68">SUM(J27:N27)</f>
        <v>22</v>
      </c>
      <c r="P27" s="110">
        <f t="shared" ref="P27:P33" si="69">SUM(($H$4*H27)/24)*J27</f>
        <v>0</v>
      </c>
      <c r="Q27" s="121">
        <f t="shared" ref="Q27:Q33" si="70">SUM(($H$4*H27)/24)*K27</f>
        <v>0</v>
      </c>
      <c r="R27" s="121">
        <f t="shared" ref="R27:R33" si="71">($H$4*H27)/18*L27</f>
        <v>105120.18</v>
      </c>
      <c r="S27" s="121">
        <f t="shared" ref="S27:S33" si="72">($H$4*H27)*M27/18</f>
        <v>0</v>
      </c>
      <c r="T27" s="121">
        <f>($H$4*H27)/18*N27</f>
        <v>0</v>
      </c>
      <c r="U27" s="121">
        <f>SUM(P27:T27)</f>
        <v>105120.18</v>
      </c>
      <c r="V27" s="122"/>
      <c r="W27" s="121">
        <f>(U27*V27)/100</f>
        <v>0</v>
      </c>
      <c r="X27" s="121">
        <f>SUM(U27,W27)</f>
        <v>105120.18</v>
      </c>
      <c r="Y27" s="122"/>
      <c r="Z27" s="121">
        <f>($H$4*0.25)*Y27/18</f>
        <v>0</v>
      </c>
      <c r="AA27" s="123"/>
      <c r="AB27" s="93">
        <f>SUM(($H$4*0.25)/18)*AA27</f>
        <v>0</v>
      </c>
      <c r="AC27" s="110"/>
      <c r="AD27" s="110">
        <f>SUM(($H$4*0.25)/18*AC27)</f>
        <v>0</v>
      </c>
      <c r="AE27" s="122"/>
      <c r="AF27" s="93">
        <f>SUM(($H$4*0.2)/18)*AE27</f>
        <v>0</v>
      </c>
      <c r="AG27" s="122"/>
      <c r="AH27" s="126">
        <f>SUM(($H$4*0.2)/18)*AG27</f>
        <v>0</v>
      </c>
      <c r="AI27" s="122"/>
      <c r="AJ27" s="127">
        <f>SUM(($H$4*0.2)/18)*AI27</f>
        <v>0</v>
      </c>
      <c r="AK27" s="95">
        <f t="shared" ref="AK27:AL33" si="73">SUM(Y27,AA27,AC27,AE27,AG27,AI27)</f>
        <v>0</v>
      </c>
      <c r="AL27" s="93">
        <f t="shared" si="73"/>
        <v>0</v>
      </c>
      <c r="AM27" s="128"/>
      <c r="AN27" s="110">
        <f>SUM($H$4*0.25)*AM27</f>
        <v>0</v>
      </c>
      <c r="AO27" s="123"/>
      <c r="AP27" s="130">
        <f>SUM($H$4*0.3)*AO27</f>
        <v>0</v>
      </c>
      <c r="AQ27" s="110"/>
      <c r="AR27" s="110">
        <f>SUM($H$4*0.2*AQ27)</f>
        <v>0</v>
      </c>
      <c r="AS27" s="122"/>
      <c r="AT27" s="110">
        <f t="shared" ref="AT27:AT33" si="74">SUM($H$4*$H27*AS27/18)</f>
        <v>0</v>
      </c>
      <c r="AU27" s="122"/>
      <c r="AV27" s="110">
        <f t="shared" ref="AV27:AV33" si="75">SUM($H$4*$H27*AU27/18)*0.7</f>
        <v>0</v>
      </c>
      <c r="AW27" s="128"/>
      <c r="AX27" s="110">
        <f t="shared" ref="AX27:AX33" si="76">SUM($H$4*$H27*AW27/18)*0.3</f>
        <v>0</v>
      </c>
      <c r="AY27" s="122"/>
      <c r="AZ27" s="126">
        <f>SUM(($H$4*0.25)/18)*AY27</f>
        <v>0</v>
      </c>
      <c r="BA27" s="110"/>
      <c r="BB27" s="110">
        <f>SUM($H$4*0.2)*BA27</f>
        <v>0</v>
      </c>
      <c r="BC27" s="110"/>
      <c r="BD27" s="126">
        <f>((($H$4*BC27)/100)*20)/100</f>
        <v>0</v>
      </c>
      <c r="BE27" s="130">
        <f>SUM(O27)</f>
        <v>22</v>
      </c>
      <c r="BF27" s="133">
        <f>SUM((U27/O27*BE27)*0.3)</f>
        <v>31536.054</v>
      </c>
      <c r="BG27" s="134">
        <f t="shared" ref="BG27:BG33" si="77">AL27+AN27+AP27+AT27+AV27+AX27+AZ27+BB27+BD27+BF27+AR27</f>
        <v>31536.054</v>
      </c>
      <c r="BH27" s="121">
        <f t="shared" ref="BH27:BH33" si="78">BG27</f>
        <v>31536.054</v>
      </c>
      <c r="BI27" s="121">
        <f>BH27*12</f>
        <v>378432.648</v>
      </c>
    </row>
    <row r="28" ht="18.75" customHeight="1" spans="1:61">
      <c r="A28" s="148">
        <v>21</v>
      </c>
      <c r="B28" s="15" t="s">
        <v>101</v>
      </c>
      <c r="C28" s="16" t="s">
        <v>102</v>
      </c>
      <c r="D28" s="15" t="s">
        <v>59</v>
      </c>
      <c r="E28" s="136" t="s">
        <v>82</v>
      </c>
      <c r="F28" s="18" t="s">
        <v>103</v>
      </c>
      <c r="G28" s="86">
        <v>4.4</v>
      </c>
      <c r="H28" s="139">
        <v>4.59</v>
      </c>
      <c r="I28" s="105">
        <f t="shared" si="67"/>
        <v>1.17</v>
      </c>
      <c r="J28" s="151"/>
      <c r="K28" s="151"/>
      <c r="L28" s="113"/>
      <c r="M28" s="113">
        <v>16</v>
      </c>
      <c r="N28" s="113">
        <v>5</v>
      </c>
      <c r="O28" s="150">
        <f t="shared" si="68"/>
        <v>21</v>
      </c>
      <c r="P28" s="110">
        <f t="shared" si="69"/>
        <v>0</v>
      </c>
      <c r="Q28" s="121">
        <f t="shared" si="70"/>
        <v>0</v>
      </c>
      <c r="R28" s="121">
        <f t="shared" si="71"/>
        <v>0</v>
      </c>
      <c r="S28" s="121">
        <f t="shared" si="72"/>
        <v>72203.76</v>
      </c>
      <c r="T28" s="121">
        <f>($H$4*H28)/18*N28</f>
        <v>22563.675</v>
      </c>
      <c r="U28" s="121">
        <f>SUM(P28:T28)</f>
        <v>94767.435</v>
      </c>
      <c r="V28" s="122"/>
      <c r="W28" s="121">
        <f>(U28*V28)/100</f>
        <v>0</v>
      </c>
      <c r="X28" s="121">
        <f>SUM(U28,W28)</f>
        <v>94767.435</v>
      </c>
      <c r="Y28" s="122"/>
      <c r="Z28" s="121">
        <f>($H$4*0.25)*Y28/18</f>
        <v>0</v>
      </c>
      <c r="AA28" s="123"/>
      <c r="AB28" s="93">
        <f>SUM(($H$4*0.25)/18)*AA28</f>
        <v>0</v>
      </c>
      <c r="AC28" s="110"/>
      <c r="AD28" s="110">
        <f>SUM(($H$4*0.25)/18*AC28)</f>
        <v>0</v>
      </c>
      <c r="AE28" s="122"/>
      <c r="AF28" s="93">
        <f>SUM(($H$4*0.2)/18)*AE28</f>
        <v>0</v>
      </c>
      <c r="AG28" s="122"/>
      <c r="AH28" s="126">
        <f>SUM(($H$4*0.2)/18)*AG28</f>
        <v>0</v>
      </c>
      <c r="AI28" s="122"/>
      <c r="AJ28" s="127">
        <f>SUM(($H$4*0.2)/18)*AI28</f>
        <v>0</v>
      </c>
      <c r="AK28" s="95">
        <f t="shared" si="73"/>
        <v>0</v>
      </c>
      <c r="AL28" s="93">
        <f t="shared" si="73"/>
        <v>0</v>
      </c>
      <c r="AM28" s="128"/>
      <c r="AN28" s="110">
        <f>SUM($H$4*0.25)*AM28</f>
        <v>0</v>
      </c>
      <c r="AO28" s="123"/>
      <c r="AP28" s="130">
        <f>SUM($H$4*0.3)*AO28</f>
        <v>0</v>
      </c>
      <c r="AQ28" s="110"/>
      <c r="AR28" s="110">
        <f>SUM($H$4*0.2*AQ28)</f>
        <v>0</v>
      </c>
      <c r="AS28" s="122"/>
      <c r="AT28" s="110">
        <f t="shared" si="74"/>
        <v>0</v>
      </c>
      <c r="AU28" s="122"/>
      <c r="AV28" s="110">
        <f t="shared" si="75"/>
        <v>0</v>
      </c>
      <c r="AW28" s="128"/>
      <c r="AX28" s="110">
        <f t="shared" si="76"/>
        <v>0</v>
      </c>
      <c r="AY28" s="122"/>
      <c r="AZ28" s="126">
        <f>SUM(($H$4*0.25)/18)*AY28</f>
        <v>0</v>
      </c>
      <c r="BA28" s="110"/>
      <c r="BB28" s="110">
        <f>SUM($H$4*0.2)*BA28</f>
        <v>0</v>
      </c>
      <c r="BC28" s="110"/>
      <c r="BD28" s="126">
        <f>((($H$4*BC28)/100)*20)/100</f>
        <v>0</v>
      </c>
      <c r="BE28" s="130">
        <f>SUM(O28)</f>
        <v>21</v>
      </c>
      <c r="BF28" s="133">
        <f>SUM((U28/O28*BE28)*0.3)</f>
        <v>28430.2305</v>
      </c>
      <c r="BG28" s="134">
        <f t="shared" si="77"/>
        <v>28430.2305</v>
      </c>
      <c r="BH28" s="121">
        <f t="shared" si="78"/>
        <v>28430.2305</v>
      </c>
      <c r="BI28" s="121">
        <f>BH28*12</f>
        <v>341162.766</v>
      </c>
    </row>
    <row r="29" ht="18.75" customHeight="1" spans="1:61">
      <c r="A29" s="82">
        <v>22</v>
      </c>
      <c r="B29" s="15" t="s">
        <v>104</v>
      </c>
      <c r="C29" s="15" t="s">
        <v>105</v>
      </c>
      <c r="D29" s="15" t="s">
        <v>59</v>
      </c>
      <c r="E29" s="136" t="s">
        <v>82</v>
      </c>
      <c r="F29" s="18" t="s">
        <v>103</v>
      </c>
      <c r="G29" s="86">
        <v>4.4</v>
      </c>
      <c r="H29" s="139">
        <v>4.59</v>
      </c>
      <c r="I29" s="105">
        <f t="shared" si="67"/>
        <v>0.56</v>
      </c>
      <c r="J29" s="151"/>
      <c r="K29" s="151"/>
      <c r="L29" s="113"/>
      <c r="M29" s="113">
        <v>10</v>
      </c>
      <c r="N29" s="113"/>
      <c r="O29" s="150">
        <f t="shared" si="68"/>
        <v>10</v>
      </c>
      <c r="P29" s="110">
        <f t="shared" si="69"/>
        <v>0</v>
      </c>
      <c r="Q29" s="121">
        <f t="shared" si="70"/>
        <v>0</v>
      </c>
      <c r="R29" s="121">
        <f t="shared" si="71"/>
        <v>0</v>
      </c>
      <c r="S29" s="121">
        <f t="shared" si="72"/>
        <v>45127.35</v>
      </c>
      <c r="T29" s="121">
        <f>($H$4*H29)/18*N29</f>
        <v>0</v>
      </c>
      <c r="U29" s="121">
        <f>SUM(P29:T29)</f>
        <v>45127.35</v>
      </c>
      <c r="V29" s="122"/>
      <c r="W29" s="121">
        <f>(U29*V29)/100</f>
        <v>0</v>
      </c>
      <c r="X29" s="121">
        <f>SUM(U29,W29)</f>
        <v>45127.35</v>
      </c>
      <c r="Y29" s="122"/>
      <c r="Z29" s="121">
        <f>($H$4*0.25)*Y29/18</f>
        <v>0</v>
      </c>
      <c r="AA29" s="123"/>
      <c r="AB29" s="93">
        <f>SUM(($H$4*0.25)/18)*AA29</f>
        <v>0</v>
      </c>
      <c r="AC29" s="110"/>
      <c r="AD29" s="110">
        <f>SUM(($H$4*0.25)/18*AC29)</f>
        <v>0</v>
      </c>
      <c r="AE29" s="122"/>
      <c r="AF29" s="93">
        <f>SUM(($H$4*0.2)/18)*AE29</f>
        <v>0</v>
      </c>
      <c r="AG29" s="122"/>
      <c r="AH29" s="126">
        <f>SUM(($H$4*0.2)/18)*AG29</f>
        <v>0</v>
      </c>
      <c r="AI29" s="122"/>
      <c r="AJ29" s="127">
        <f>SUM(($H$4*0.2)/18)*AI29</f>
        <v>0</v>
      </c>
      <c r="AK29" s="95">
        <f t="shared" si="73"/>
        <v>0</v>
      </c>
      <c r="AL29" s="93">
        <f t="shared" si="73"/>
        <v>0</v>
      </c>
      <c r="AM29" s="128"/>
      <c r="AN29" s="110">
        <f>SUM($H$4*0.25)*AM29</f>
        <v>0</v>
      </c>
      <c r="AO29" s="123"/>
      <c r="AP29" s="130">
        <f>SUM($H$4*0.3)*AO29</f>
        <v>0</v>
      </c>
      <c r="AQ29" s="110"/>
      <c r="AR29" s="110">
        <f>SUM($H$4*0.2*AQ29)</f>
        <v>0</v>
      </c>
      <c r="AS29" s="122"/>
      <c r="AT29" s="110">
        <f t="shared" si="74"/>
        <v>0</v>
      </c>
      <c r="AU29" s="122"/>
      <c r="AV29" s="110">
        <f t="shared" si="75"/>
        <v>0</v>
      </c>
      <c r="AW29" s="128"/>
      <c r="AX29" s="110">
        <f t="shared" si="76"/>
        <v>0</v>
      </c>
      <c r="AY29" s="122"/>
      <c r="AZ29" s="126">
        <f>SUM(($H$4*0.25)/18)*AY29</f>
        <v>0</v>
      </c>
      <c r="BA29" s="110"/>
      <c r="BB29" s="110">
        <f>SUM($H$4*0.2)*BA29</f>
        <v>0</v>
      </c>
      <c r="BC29" s="110"/>
      <c r="BD29" s="126">
        <f>((($H$4*BC29)/100)*20)/100</f>
        <v>0</v>
      </c>
      <c r="BE29" s="130">
        <f>SUM(O29)</f>
        <v>10</v>
      </c>
      <c r="BF29" s="133">
        <f>SUM((U29/O29*BE29)*0.3)</f>
        <v>13538.205</v>
      </c>
      <c r="BG29" s="134">
        <f t="shared" si="77"/>
        <v>13538.205</v>
      </c>
      <c r="BH29" s="121">
        <f t="shared" si="78"/>
        <v>13538.205</v>
      </c>
      <c r="BI29" s="121">
        <f>BH29*12</f>
        <v>162458.46</v>
      </c>
    </row>
    <row r="30" ht="18.75" customHeight="1" spans="1:61">
      <c r="A30" s="82">
        <v>23</v>
      </c>
      <c r="B30" s="15" t="s">
        <v>118</v>
      </c>
      <c r="C30" s="15" t="s">
        <v>119</v>
      </c>
      <c r="D30" s="15" t="s">
        <v>59</v>
      </c>
      <c r="E30" s="17" t="s">
        <v>82</v>
      </c>
      <c r="F30" s="18" t="s">
        <v>103</v>
      </c>
      <c r="G30" s="86">
        <v>3</v>
      </c>
      <c r="H30" s="15">
        <v>4.51</v>
      </c>
      <c r="I30" s="105">
        <f t="shared" si="67"/>
        <v>1.28</v>
      </c>
      <c r="J30" s="151"/>
      <c r="K30" s="157"/>
      <c r="L30" s="113"/>
      <c r="M30" s="113">
        <v>15</v>
      </c>
      <c r="N30" s="113">
        <v>8</v>
      </c>
      <c r="O30" s="158">
        <f t="shared" si="68"/>
        <v>23</v>
      </c>
      <c r="P30" s="110">
        <f t="shared" si="69"/>
        <v>0</v>
      </c>
      <c r="Q30" s="121">
        <f t="shared" si="70"/>
        <v>0</v>
      </c>
      <c r="R30" s="121">
        <f t="shared" si="71"/>
        <v>0</v>
      </c>
      <c r="S30" s="121">
        <f t="shared" si="72"/>
        <v>66511.225</v>
      </c>
      <c r="T30" s="121">
        <f>($H$4*H30)/18*N30</f>
        <v>35472.6533333333</v>
      </c>
      <c r="U30" s="121">
        <f>SUM(P30:T30)</f>
        <v>101983.878333333</v>
      </c>
      <c r="V30" s="88">
        <f>SUM(V25:V29)</f>
        <v>0</v>
      </c>
      <c r="W30" s="121">
        <f>(U30*V30)/100</f>
        <v>0</v>
      </c>
      <c r="X30" s="121">
        <f>SUM(U30,W30)</f>
        <v>101983.878333333</v>
      </c>
      <c r="Y30" s="122"/>
      <c r="Z30" s="121">
        <f>($H$4*0.25)*Y30/18</f>
        <v>0</v>
      </c>
      <c r="AA30" s="123"/>
      <c r="AB30" s="93">
        <f>SUM(($H$4*0.25)/18)*AA30</f>
        <v>0</v>
      </c>
      <c r="AC30" s="110"/>
      <c r="AD30" s="110">
        <f>SUM(($H$4*0.25)/18*AC30)</f>
        <v>0</v>
      </c>
      <c r="AE30" s="122"/>
      <c r="AF30" s="93">
        <f>SUM(($H$4*0.2)/18)*AE30</f>
        <v>0</v>
      </c>
      <c r="AG30" s="122"/>
      <c r="AH30" s="126">
        <f>SUM(($H$4*0.2)/18)*AG30</f>
        <v>0</v>
      </c>
      <c r="AI30" s="122"/>
      <c r="AJ30" s="127">
        <f>SUM(($H$4*0.2)/18)*AI30</f>
        <v>0</v>
      </c>
      <c r="AK30" s="95">
        <f t="shared" si="73"/>
        <v>0</v>
      </c>
      <c r="AL30" s="93">
        <f t="shared" si="73"/>
        <v>0</v>
      </c>
      <c r="AM30" s="128"/>
      <c r="AN30" s="110">
        <f>SUM($H$4*0.25)*AM30</f>
        <v>0</v>
      </c>
      <c r="AO30" s="123"/>
      <c r="AP30" s="130">
        <f>SUM($H$4*0.3)*AO30</f>
        <v>0</v>
      </c>
      <c r="AQ30" s="110"/>
      <c r="AR30" s="110">
        <f>SUM($H$4*0.2*AQ30)</f>
        <v>0</v>
      </c>
      <c r="AS30" s="122"/>
      <c r="AT30" s="110">
        <f t="shared" si="74"/>
        <v>0</v>
      </c>
      <c r="AU30" s="122"/>
      <c r="AV30" s="110">
        <f t="shared" si="75"/>
        <v>0</v>
      </c>
      <c r="AW30" s="128"/>
      <c r="AX30" s="110">
        <f t="shared" si="76"/>
        <v>0</v>
      </c>
      <c r="AY30" s="122"/>
      <c r="AZ30" s="126">
        <f>SUM(($H$4*0.25)/18)*AY30</f>
        <v>0</v>
      </c>
      <c r="BA30" s="110"/>
      <c r="BB30" s="110">
        <f>SUM($H$4*0.2)*BA30</f>
        <v>0</v>
      </c>
      <c r="BC30" s="110"/>
      <c r="BD30" s="126">
        <f>((($H$4*BC30)/100)*20)/100</f>
        <v>0</v>
      </c>
      <c r="BE30" s="130">
        <f>SUM(O30)</f>
        <v>23</v>
      </c>
      <c r="BF30" s="133">
        <f>SUM(((U30/O30*BE30)*0.3))</f>
        <v>30595.1635</v>
      </c>
      <c r="BG30" s="134">
        <f t="shared" si="77"/>
        <v>30595.1635</v>
      </c>
      <c r="BH30" s="121">
        <f t="shared" si="78"/>
        <v>30595.1635</v>
      </c>
      <c r="BI30" s="121">
        <f>BH30*12</f>
        <v>367141.962</v>
      </c>
    </row>
    <row r="31" ht="18.75" customHeight="1" spans="1:61">
      <c r="A31" s="82">
        <v>24</v>
      </c>
      <c r="B31" s="15" t="s">
        <v>124</v>
      </c>
      <c r="C31" s="16" t="s">
        <v>352</v>
      </c>
      <c r="D31" s="15" t="s">
        <v>59</v>
      </c>
      <c r="E31" s="17" t="s">
        <v>82</v>
      </c>
      <c r="F31" s="18" t="s">
        <v>103</v>
      </c>
      <c r="G31" s="86">
        <v>783</v>
      </c>
      <c r="H31" s="15">
        <v>4.33</v>
      </c>
      <c r="I31" s="105">
        <f t="shared" si="67"/>
        <v>1.39</v>
      </c>
      <c r="J31" s="151"/>
      <c r="K31" s="157"/>
      <c r="L31" s="113">
        <v>19</v>
      </c>
      <c r="M31" s="113">
        <v>5</v>
      </c>
      <c r="N31" s="113">
        <v>1</v>
      </c>
      <c r="O31" s="158">
        <f t="shared" si="68"/>
        <v>25</v>
      </c>
      <c r="P31" s="110">
        <f t="shared" si="69"/>
        <v>0</v>
      </c>
      <c r="Q31" s="121">
        <f t="shared" si="70"/>
        <v>0</v>
      </c>
      <c r="R31" s="121">
        <f t="shared" si="71"/>
        <v>80885.1216666667</v>
      </c>
      <c r="S31" s="121">
        <f t="shared" si="72"/>
        <v>21285.5583333333</v>
      </c>
      <c r="T31" s="121">
        <f t="shared" ref="T31:T33" si="79">($H$4*H31)/18*N31</f>
        <v>4257.11166666667</v>
      </c>
      <c r="U31" s="121">
        <f t="shared" ref="U31:U33" si="80">SUM(P31:T31)</f>
        <v>106427.791666667</v>
      </c>
      <c r="V31" s="161"/>
      <c r="W31" s="121">
        <f t="shared" ref="W31:W33" si="81">(U31*V31)/100</f>
        <v>0</v>
      </c>
      <c r="X31" s="121">
        <f t="shared" ref="X31:X33" si="82">SUM(U31,W31)</f>
        <v>106427.791666667</v>
      </c>
      <c r="Y31" s="122"/>
      <c r="Z31" s="121"/>
      <c r="AA31" s="123"/>
      <c r="AB31" s="93"/>
      <c r="AC31" s="110"/>
      <c r="AD31" s="110"/>
      <c r="AE31" s="122"/>
      <c r="AF31" s="93"/>
      <c r="AG31" s="122"/>
      <c r="AH31" s="126"/>
      <c r="AI31" s="122"/>
      <c r="AJ31" s="127"/>
      <c r="AK31" s="95"/>
      <c r="AL31" s="93"/>
      <c r="AM31" s="128"/>
      <c r="AN31" s="110"/>
      <c r="AO31" s="123"/>
      <c r="AP31" s="130"/>
      <c r="AQ31" s="110"/>
      <c r="AR31" s="110"/>
      <c r="AS31" s="122"/>
      <c r="AT31" s="110">
        <f t="shared" si="74"/>
        <v>0</v>
      </c>
      <c r="AU31" s="122"/>
      <c r="AV31" s="110">
        <f t="shared" si="75"/>
        <v>0</v>
      </c>
      <c r="AW31" s="128"/>
      <c r="AX31" s="110">
        <f t="shared" si="76"/>
        <v>0</v>
      </c>
      <c r="AY31" s="122"/>
      <c r="AZ31" s="126"/>
      <c r="BA31" s="110"/>
      <c r="BB31" s="110"/>
      <c r="BC31" s="110"/>
      <c r="BD31" s="126"/>
      <c r="BE31" s="130">
        <v>25</v>
      </c>
      <c r="BF31" s="163">
        <f>SUM(((U31/O31*BE31)*0.3))</f>
        <v>31928.3375</v>
      </c>
      <c r="BG31" s="134">
        <f t="shared" si="77"/>
        <v>31928.3375</v>
      </c>
      <c r="BH31" s="121">
        <f t="shared" si="78"/>
        <v>31928.3375</v>
      </c>
      <c r="BI31" s="121">
        <f t="shared" ref="BI31:BI33" si="83">BH31*12</f>
        <v>383140.05</v>
      </c>
    </row>
    <row r="32" ht="18.75" customHeight="1" spans="1:61">
      <c r="A32" s="82">
        <v>25</v>
      </c>
      <c r="B32" s="15" t="s">
        <v>122</v>
      </c>
      <c r="C32" s="16" t="s">
        <v>265</v>
      </c>
      <c r="D32" s="15" t="s">
        <v>59</v>
      </c>
      <c r="E32" s="17" t="s">
        <v>82</v>
      </c>
      <c r="F32" s="18">
        <v>2</v>
      </c>
      <c r="G32" s="86">
        <v>8</v>
      </c>
      <c r="H32" s="15">
        <v>4.19</v>
      </c>
      <c r="I32" s="105">
        <f t="shared" si="67"/>
        <v>0.5</v>
      </c>
      <c r="J32" s="151"/>
      <c r="K32" s="157"/>
      <c r="L32" s="113">
        <v>3</v>
      </c>
      <c r="M32" s="113">
        <v>5</v>
      </c>
      <c r="N32" s="113">
        <v>1</v>
      </c>
      <c r="O32" s="159">
        <f t="shared" si="68"/>
        <v>9</v>
      </c>
      <c r="P32" s="110">
        <f t="shared" si="69"/>
        <v>0</v>
      </c>
      <c r="Q32" s="121">
        <f t="shared" si="70"/>
        <v>0</v>
      </c>
      <c r="R32" s="121">
        <f t="shared" si="71"/>
        <v>12358.405</v>
      </c>
      <c r="S32" s="121">
        <f t="shared" si="72"/>
        <v>20597.3416666667</v>
      </c>
      <c r="T32" s="121">
        <f t="shared" si="79"/>
        <v>4119.46833333333</v>
      </c>
      <c r="U32" s="121">
        <f t="shared" si="80"/>
        <v>37075.215</v>
      </c>
      <c r="V32" s="161"/>
      <c r="W32" s="121">
        <f t="shared" si="81"/>
        <v>0</v>
      </c>
      <c r="X32" s="121">
        <f t="shared" si="82"/>
        <v>37075.215</v>
      </c>
      <c r="Y32" s="122"/>
      <c r="Z32" s="121"/>
      <c r="AA32" s="123"/>
      <c r="AB32" s="93"/>
      <c r="AC32" s="110"/>
      <c r="AD32" s="110"/>
      <c r="AE32" s="122"/>
      <c r="AF32" s="93"/>
      <c r="AG32" s="122"/>
      <c r="AH32" s="126"/>
      <c r="AI32" s="122"/>
      <c r="AJ32" s="127"/>
      <c r="AK32" s="95"/>
      <c r="AL32" s="93"/>
      <c r="AM32" s="128"/>
      <c r="AN32" s="110"/>
      <c r="AO32" s="123"/>
      <c r="AP32" s="130"/>
      <c r="AQ32" s="110"/>
      <c r="AR32" s="110"/>
      <c r="AS32" s="122"/>
      <c r="AT32" s="110">
        <f t="shared" si="74"/>
        <v>0</v>
      </c>
      <c r="AU32" s="122"/>
      <c r="AV32" s="110">
        <f t="shared" si="75"/>
        <v>0</v>
      </c>
      <c r="AW32" s="128"/>
      <c r="AX32" s="110">
        <f t="shared" si="76"/>
        <v>0</v>
      </c>
      <c r="AY32" s="122"/>
      <c r="AZ32" s="126"/>
      <c r="BA32" s="110"/>
      <c r="BB32" s="110"/>
      <c r="BC32" s="110"/>
      <c r="BD32" s="126"/>
      <c r="BE32" s="130">
        <v>9</v>
      </c>
      <c r="BF32" s="163">
        <f>SUM(((U32/O32*BE32)*0.3))</f>
        <v>11122.5645</v>
      </c>
      <c r="BG32" s="134">
        <f t="shared" si="77"/>
        <v>11122.5645</v>
      </c>
      <c r="BH32" s="121">
        <f t="shared" si="78"/>
        <v>11122.5645</v>
      </c>
      <c r="BI32" s="121">
        <f t="shared" si="83"/>
        <v>133470.774</v>
      </c>
    </row>
    <row r="33" ht="18.75" customHeight="1" spans="1:61">
      <c r="A33" s="82">
        <v>26</v>
      </c>
      <c r="B33" s="15" t="s">
        <v>106</v>
      </c>
      <c r="C33" s="15" t="s">
        <v>58</v>
      </c>
      <c r="D33" s="15" t="s">
        <v>59</v>
      </c>
      <c r="E33" s="136" t="s">
        <v>82</v>
      </c>
      <c r="F33" s="18">
        <v>2</v>
      </c>
      <c r="G33" s="86">
        <v>11.4</v>
      </c>
      <c r="H33" s="139">
        <v>4.81</v>
      </c>
      <c r="I33" s="105">
        <f t="shared" si="67"/>
        <v>1.28</v>
      </c>
      <c r="J33" s="151"/>
      <c r="K33" s="151"/>
      <c r="L33" s="113">
        <v>23</v>
      </c>
      <c r="M33" s="113"/>
      <c r="N33" s="113"/>
      <c r="O33" s="150">
        <f t="shared" si="68"/>
        <v>23</v>
      </c>
      <c r="P33" s="110">
        <f t="shared" si="69"/>
        <v>0</v>
      </c>
      <c r="Q33" s="121">
        <f t="shared" si="70"/>
        <v>0</v>
      </c>
      <c r="R33" s="121">
        <f t="shared" si="71"/>
        <v>108767.728333333</v>
      </c>
      <c r="S33" s="121">
        <f t="shared" si="72"/>
        <v>0</v>
      </c>
      <c r="T33" s="121">
        <f t="shared" si="79"/>
        <v>0</v>
      </c>
      <c r="U33" s="121">
        <f t="shared" si="80"/>
        <v>108767.728333333</v>
      </c>
      <c r="V33" s="122"/>
      <c r="W33" s="121">
        <f t="shared" si="81"/>
        <v>0</v>
      </c>
      <c r="X33" s="121">
        <f t="shared" si="82"/>
        <v>108767.728333333</v>
      </c>
      <c r="Y33" s="122"/>
      <c r="Z33" s="121">
        <f>($H$4*0.25)*Y33/18</f>
        <v>0</v>
      </c>
      <c r="AA33" s="123"/>
      <c r="AB33" s="93">
        <f>SUM(($H$4*0.25)/18)*AA33</f>
        <v>0</v>
      </c>
      <c r="AC33" s="110"/>
      <c r="AD33" s="110">
        <f>SUM(($H$4*0.25)/18*AC33)</f>
        <v>0</v>
      </c>
      <c r="AE33" s="122"/>
      <c r="AF33" s="93">
        <f>SUM(($H$4*0.2)/18)*AE33</f>
        <v>0</v>
      </c>
      <c r="AG33" s="122"/>
      <c r="AH33" s="126">
        <f>SUM(($H$4*0.2)/18)*AG33</f>
        <v>0</v>
      </c>
      <c r="AI33" s="122"/>
      <c r="AJ33" s="127">
        <f>SUM(($H$4*0.2)/18)*AI33</f>
        <v>0</v>
      </c>
      <c r="AK33" s="95">
        <f t="shared" si="73"/>
        <v>0</v>
      </c>
      <c r="AL33" s="93">
        <f t="shared" si="73"/>
        <v>0</v>
      </c>
      <c r="AM33" s="128"/>
      <c r="AN33" s="110">
        <f>SUM($H$4*0.25)*AM33</f>
        <v>0</v>
      </c>
      <c r="AO33" s="123"/>
      <c r="AP33" s="130">
        <f>SUM($H$4*0.3)*AO33</f>
        <v>0</v>
      </c>
      <c r="AQ33" s="110"/>
      <c r="AR33" s="110">
        <f>SUM($H$4*0.2*AQ33)</f>
        <v>0</v>
      </c>
      <c r="AS33" s="122"/>
      <c r="AT33" s="110">
        <f t="shared" si="74"/>
        <v>0</v>
      </c>
      <c r="AU33" s="122"/>
      <c r="AV33" s="110">
        <f t="shared" si="75"/>
        <v>0</v>
      </c>
      <c r="AW33" s="128"/>
      <c r="AX33" s="110">
        <f t="shared" si="76"/>
        <v>0</v>
      </c>
      <c r="AY33" s="122"/>
      <c r="AZ33" s="126">
        <f>SUM(($H$4*0.25)/18)*AY33</f>
        <v>0</v>
      </c>
      <c r="BA33" s="110"/>
      <c r="BB33" s="110">
        <f>SUM($H$4*0.2)*BA33</f>
        <v>0</v>
      </c>
      <c r="BC33" s="110"/>
      <c r="BD33" s="126">
        <f>((($H$4*BC33)/100)*20)/100</f>
        <v>0</v>
      </c>
      <c r="BE33" s="130">
        <f>SUM(O33)</f>
        <v>23</v>
      </c>
      <c r="BF33" s="133">
        <f>SUM((U33/O33*BE33)*0.3)</f>
        <v>32630.3185</v>
      </c>
      <c r="BG33" s="134">
        <f t="shared" si="77"/>
        <v>32630.3185</v>
      </c>
      <c r="BH33" s="121">
        <f t="shared" si="78"/>
        <v>32630.3185</v>
      </c>
      <c r="BI33" s="121">
        <f t="shared" si="83"/>
        <v>391563.822</v>
      </c>
    </row>
    <row r="34" ht="18.75" customHeight="1" spans="1:61">
      <c r="A34" s="87"/>
      <c r="B34" s="88" t="s">
        <v>107</v>
      </c>
      <c r="C34" s="89"/>
      <c r="D34" s="89"/>
      <c r="E34" s="90"/>
      <c r="F34" s="91"/>
      <c r="G34" s="92"/>
      <c r="H34" s="93"/>
      <c r="I34" s="88">
        <f t="shared" ref="I34:AN34" si="84">SUM(I27:I33)</f>
        <v>7.4</v>
      </c>
      <c r="J34" s="88">
        <f t="shared" si="84"/>
        <v>0</v>
      </c>
      <c r="K34" s="88">
        <f t="shared" si="84"/>
        <v>0</v>
      </c>
      <c r="L34" s="88">
        <f t="shared" si="84"/>
        <v>67</v>
      </c>
      <c r="M34" s="88">
        <f t="shared" si="84"/>
        <v>51</v>
      </c>
      <c r="N34" s="88">
        <f t="shared" si="84"/>
        <v>15</v>
      </c>
      <c r="O34" s="88">
        <f t="shared" si="84"/>
        <v>133</v>
      </c>
      <c r="P34" s="88">
        <f t="shared" si="84"/>
        <v>0</v>
      </c>
      <c r="Q34" s="88">
        <f t="shared" si="84"/>
        <v>0</v>
      </c>
      <c r="R34" s="88">
        <f t="shared" si="84"/>
        <v>307131.435</v>
      </c>
      <c r="S34" s="88">
        <f t="shared" si="84"/>
        <v>225725.235</v>
      </c>
      <c r="T34" s="88">
        <f t="shared" si="84"/>
        <v>66412.9083333333</v>
      </c>
      <c r="U34" s="88">
        <f t="shared" si="84"/>
        <v>599269.578333333</v>
      </c>
      <c r="V34" s="88">
        <f t="shared" si="84"/>
        <v>0</v>
      </c>
      <c r="W34" s="88">
        <f t="shared" si="84"/>
        <v>0</v>
      </c>
      <c r="X34" s="88">
        <f t="shared" si="84"/>
        <v>599269.578333333</v>
      </c>
      <c r="Y34" s="88">
        <f t="shared" si="84"/>
        <v>0</v>
      </c>
      <c r="Z34" s="88">
        <f t="shared" si="84"/>
        <v>0</v>
      </c>
      <c r="AA34" s="88">
        <f t="shared" si="84"/>
        <v>0</v>
      </c>
      <c r="AB34" s="88">
        <f t="shared" si="84"/>
        <v>0</v>
      </c>
      <c r="AC34" s="88">
        <f t="shared" si="84"/>
        <v>0</v>
      </c>
      <c r="AD34" s="88">
        <f t="shared" si="84"/>
        <v>0</v>
      </c>
      <c r="AE34" s="88">
        <f t="shared" si="84"/>
        <v>0</v>
      </c>
      <c r="AF34" s="88">
        <f t="shared" si="84"/>
        <v>0</v>
      </c>
      <c r="AG34" s="88">
        <f t="shared" si="84"/>
        <v>0</v>
      </c>
      <c r="AH34" s="88">
        <f t="shared" si="84"/>
        <v>0</v>
      </c>
      <c r="AI34" s="88">
        <f t="shared" si="84"/>
        <v>0</v>
      </c>
      <c r="AJ34" s="88">
        <f t="shared" si="84"/>
        <v>0</v>
      </c>
      <c r="AK34" s="88">
        <f t="shared" si="84"/>
        <v>0</v>
      </c>
      <c r="AL34" s="88">
        <f t="shared" si="84"/>
        <v>0</v>
      </c>
      <c r="AM34" s="88">
        <f t="shared" si="84"/>
        <v>0</v>
      </c>
      <c r="AN34" s="88">
        <f t="shared" si="84"/>
        <v>0</v>
      </c>
      <c r="AO34" s="88">
        <f t="shared" ref="AO34:BI34" si="85">SUM(AO27:AO33)</f>
        <v>0</v>
      </c>
      <c r="AP34" s="88">
        <f t="shared" si="85"/>
        <v>0</v>
      </c>
      <c r="AQ34" s="88">
        <f t="shared" si="85"/>
        <v>0</v>
      </c>
      <c r="AR34" s="88">
        <f t="shared" si="85"/>
        <v>0</v>
      </c>
      <c r="AS34" s="88">
        <f t="shared" si="85"/>
        <v>0</v>
      </c>
      <c r="AT34" s="88">
        <f t="shared" si="85"/>
        <v>0</v>
      </c>
      <c r="AU34" s="88">
        <f t="shared" si="85"/>
        <v>0</v>
      </c>
      <c r="AV34" s="88">
        <f t="shared" si="85"/>
        <v>0</v>
      </c>
      <c r="AW34" s="88">
        <f t="shared" si="85"/>
        <v>0</v>
      </c>
      <c r="AX34" s="88">
        <f t="shared" si="85"/>
        <v>0</v>
      </c>
      <c r="AY34" s="88">
        <f t="shared" si="85"/>
        <v>0</v>
      </c>
      <c r="AZ34" s="88">
        <f t="shared" si="85"/>
        <v>0</v>
      </c>
      <c r="BA34" s="88">
        <f t="shared" si="85"/>
        <v>0</v>
      </c>
      <c r="BB34" s="88">
        <f t="shared" si="85"/>
        <v>0</v>
      </c>
      <c r="BC34" s="88">
        <f t="shared" si="85"/>
        <v>0</v>
      </c>
      <c r="BD34" s="88">
        <f t="shared" si="85"/>
        <v>0</v>
      </c>
      <c r="BE34" s="88">
        <f t="shared" si="85"/>
        <v>133</v>
      </c>
      <c r="BF34" s="88">
        <f t="shared" si="85"/>
        <v>179780.8735</v>
      </c>
      <c r="BG34" s="88">
        <f t="shared" si="85"/>
        <v>179780.8735</v>
      </c>
      <c r="BH34" s="88">
        <f t="shared" si="85"/>
        <v>179780.8735</v>
      </c>
      <c r="BI34" s="88">
        <f t="shared" si="85"/>
        <v>2157370.482</v>
      </c>
    </row>
    <row r="35" ht="18.75" customHeight="1" spans="1:61">
      <c r="A35" s="82">
        <v>25</v>
      </c>
      <c r="B35" s="15" t="s">
        <v>114</v>
      </c>
      <c r="C35" s="16" t="s">
        <v>115</v>
      </c>
      <c r="D35" s="15" t="s">
        <v>59</v>
      </c>
      <c r="E35" s="17" t="s">
        <v>109</v>
      </c>
      <c r="F35" s="18" t="s">
        <v>110</v>
      </c>
      <c r="G35" s="19">
        <v>3.4</v>
      </c>
      <c r="H35" s="84">
        <v>4.19</v>
      </c>
      <c r="I35" s="105">
        <f>ROUND((((J35+K35))/24)+(L35+M35+N35)/18,2)</f>
        <v>0.67</v>
      </c>
      <c r="J35" s="151"/>
      <c r="K35" s="151"/>
      <c r="L35" s="113"/>
      <c r="M35" s="113">
        <v>12</v>
      </c>
      <c r="N35" s="113"/>
      <c r="O35" s="158">
        <f>SUM(J35:N35)</f>
        <v>12</v>
      </c>
      <c r="P35" s="110">
        <f>SUM(($H$4*H35)/24)*J35</f>
        <v>0</v>
      </c>
      <c r="Q35" s="121">
        <f>SUM(($H$4*H35)/24)*K35</f>
        <v>0</v>
      </c>
      <c r="R35" s="121">
        <f>($H$4*H35)/18*L35</f>
        <v>0</v>
      </c>
      <c r="S35" s="121">
        <f>($H$4*H35)*M35/18</f>
        <v>49433.62</v>
      </c>
      <c r="T35" s="121">
        <f>($H$4*H35)/18*N35</f>
        <v>0</v>
      </c>
      <c r="U35" s="121">
        <f>SUM(P35:T35)</f>
        <v>49433.62</v>
      </c>
      <c r="V35" s="88">
        <f>SUM(V28:V34)</f>
        <v>0</v>
      </c>
      <c r="W35" s="121">
        <f>(U35*V35)/100</f>
        <v>0</v>
      </c>
      <c r="X35" s="121">
        <f>SUM(U35,W35)</f>
        <v>49433.62</v>
      </c>
      <c r="Y35" s="122"/>
      <c r="Z35" s="121">
        <f>($H$4*0.25)*Y35/18</f>
        <v>0</v>
      </c>
      <c r="AA35" s="123"/>
      <c r="AB35" s="93">
        <f>SUM(($H$4*0.25)/18)*AA35</f>
        <v>0</v>
      </c>
      <c r="AC35" s="110"/>
      <c r="AD35" s="110">
        <f>SUM(($H$4*0.25)/18*AC35)</f>
        <v>0</v>
      </c>
      <c r="AE35" s="122"/>
      <c r="AF35" s="93">
        <f>SUM(($H$4*0.2)/18)*AE35</f>
        <v>0</v>
      </c>
      <c r="AG35" s="122"/>
      <c r="AH35" s="126">
        <f>SUM(($H$4*0.2)/18)*AG35</f>
        <v>0</v>
      </c>
      <c r="AI35" s="122"/>
      <c r="AJ35" s="127">
        <f>SUM(($H$4*0.2)/18)*AI35</f>
        <v>0</v>
      </c>
      <c r="AK35" s="95">
        <f>SUM(Y35,AA35,AC35,AE35,AG35,AI35)</f>
        <v>0</v>
      </c>
      <c r="AL35" s="93">
        <f>SUM(Z35,AB35,AD35,AF35,AH35,AJ35)</f>
        <v>0</v>
      </c>
      <c r="AM35" s="128"/>
      <c r="AN35" s="110">
        <f>SUM($H$4*0.25)*AM35</f>
        <v>0</v>
      </c>
      <c r="AO35" s="123"/>
      <c r="AP35" s="130">
        <f>SUM($H$4*0.3)*AO35</f>
        <v>0</v>
      </c>
      <c r="AQ35" s="110"/>
      <c r="AR35" s="110">
        <f>SUM($H$4*0.2*AQ35)</f>
        <v>0</v>
      </c>
      <c r="AS35" s="122"/>
      <c r="AT35" s="110">
        <f>SUM($H$4*$H35*AS35/18)</f>
        <v>0</v>
      </c>
      <c r="AU35" s="122"/>
      <c r="AV35" s="110">
        <f>SUM($H$4*$H35*AU35/18)*0.7</f>
        <v>0</v>
      </c>
      <c r="AW35" s="128"/>
      <c r="AX35" s="110">
        <f>SUM($H$4*$H35*AW35/18)*0.3</f>
        <v>0</v>
      </c>
      <c r="AY35" s="122"/>
      <c r="AZ35" s="126">
        <f>SUM(($H$4*0.25)/18)*AY35</f>
        <v>0</v>
      </c>
      <c r="BA35" s="110"/>
      <c r="BB35" s="110">
        <f>SUM($H$4*0.2)*BA35</f>
        <v>0</v>
      </c>
      <c r="BC35" s="110"/>
      <c r="BD35" s="126">
        <f>((($H$4*BC35)/100)*20)/100</f>
        <v>0</v>
      </c>
      <c r="BE35" s="130">
        <f>SUM(O35)</f>
        <v>12</v>
      </c>
      <c r="BF35" s="133">
        <f>SUM(((U35/O35*BE35)*0.3))</f>
        <v>14830.086</v>
      </c>
      <c r="BG35" s="134">
        <f>AL35+AN35+AP35+AT35+AV35+AX35+AZ35+BB35+BD35+BF35+AR35</f>
        <v>14830.086</v>
      </c>
      <c r="BH35" s="121">
        <f>BG35</f>
        <v>14830.086</v>
      </c>
      <c r="BI35" s="121">
        <f>BH35*12</f>
        <v>177961.032</v>
      </c>
    </row>
    <row r="36" ht="18.75" customHeight="1" spans="1:61">
      <c r="A36" s="82">
        <v>26</v>
      </c>
      <c r="B36" s="15" t="s">
        <v>117</v>
      </c>
      <c r="C36" s="16" t="s">
        <v>68</v>
      </c>
      <c r="D36" s="15" t="s">
        <v>59</v>
      </c>
      <c r="E36" s="17" t="s">
        <v>109</v>
      </c>
      <c r="F36" s="18" t="s">
        <v>110</v>
      </c>
      <c r="G36" s="19">
        <v>4.4</v>
      </c>
      <c r="H36" s="84">
        <v>4.23</v>
      </c>
      <c r="I36" s="105">
        <f>ROUND((((J36+K36))/24)+(L36+M36+N36)/18,2)</f>
        <v>1</v>
      </c>
      <c r="J36" s="151"/>
      <c r="K36" s="151"/>
      <c r="L36" s="113"/>
      <c r="M36" s="113">
        <v>15</v>
      </c>
      <c r="N36" s="113">
        <v>3</v>
      </c>
      <c r="O36" s="158">
        <f>SUM(J36:N36)</f>
        <v>18</v>
      </c>
      <c r="P36" s="110">
        <f>SUM(($H$4*H36)/24)*J36</f>
        <v>0</v>
      </c>
      <c r="Q36" s="121">
        <f>SUM(($H$4*H36)/24)*K36</f>
        <v>0</v>
      </c>
      <c r="R36" s="121">
        <f>($H$4*H36)/18*L36</f>
        <v>0</v>
      </c>
      <c r="S36" s="121">
        <f>($H$4*H36)*M36/18</f>
        <v>62381.925</v>
      </c>
      <c r="T36" s="121">
        <f>($H$4*H36)/18*N36</f>
        <v>12476.385</v>
      </c>
      <c r="U36" s="121">
        <f>SUM(P36:T36)</f>
        <v>74858.31</v>
      </c>
      <c r="V36" s="88">
        <f>SUM(V29:V35)</f>
        <v>0</v>
      </c>
      <c r="W36" s="121">
        <f>(U36*V36)/100</f>
        <v>0</v>
      </c>
      <c r="X36" s="121">
        <f>SUM(U36,W36)</f>
        <v>74858.31</v>
      </c>
      <c r="Y36" s="122"/>
      <c r="Z36" s="121"/>
      <c r="AA36" s="123"/>
      <c r="AB36" s="93"/>
      <c r="AC36" s="110"/>
      <c r="AD36" s="110"/>
      <c r="AE36" s="122"/>
      <c r="AF36" s="93"/>
      <c r="AG36" s="122"/>
      <c r="AH36" s="126"/>
      <c r="AI36" s="122"/>
      <c r="AJ36" s="127"/>
      <c r="AK36" s="95"/>
      <c r="AL36" s="93"/>
      <c r="AM36" s="128"/>
      <c r="AN36" s="110"/>
      <c r="AO36" s="123"/>
      <c r="AP36" s="130"/>
      <c r="AQ36" s="110"/>
      <c r="AR36" s="110"/>
      <c r="AS36" s="122"/>
      <c r="AT36" s="110">
        <f>SUM($H$4*$H36*AS36/18)</f>
        <v>0</v>
      </c>
      <c r="AU36" s="122"/>
      <c r="AV36" s="110">
        <f>SUM($H$4*$H36*AU36/18)*0.7</f>
        <v>0</v>
      </c>
      <c r="AW36" s="128"/>
      <c r="AX36" s="110">
        <f>SUM($H$4*$H36*AW36/18)*0.3</f>
        <v>0</v>
      </c>
      <c r="AY36" s="122"/>
      <c r="AZ36" s="126"/>
      <c r="BA36" s="110"/>
      <c r="BB36" s="110"/>
      <c r="BC36" s="110"/>
      <c r="BD36" s="126"/>
      <c r="BE36" s="130">
        <f>SUM(O36)</f>
        <v>18</v>
      </c>
      <c r="BF36" s="133">
        <f>SUM(((U36/O36*BE36)*0.3))</f>
        <v>22457.493</v>
      </c>
      <c r="BG36" s="134">
        <f>AL36+AN36+AP36+AT36+AV36+AX36+AZ36+BB36+BD36+BF36+AR36</f>
        <v>22457.493</v>
      </c>
      <c r="BH36" s="121">
        <f>BG36</f>
        <v>22457.493</v>
      </c>
      <c r="BI36" s="121">
        <f>BH36*12</f>
        <v>269489.916</v>
      </c>
    </row>
    <row r="37" ht="18.75" customHeight="1" spans="1:61">
      <c r="A37" s="82">
        <v>28</v>
      </c>
      <c r="B37" s="15" t="s">
        <v>101</v>
      </c>
      <c r="C37" s="16" t="s">
        <v>108</v>
      </c>
      <c r="D37" s="136" t="s">
        <v>59</v>
      </c>
      <c r="E37" s="17" t="s">
        <v>109</v>
      </c>
      <c r="F37" s="18" t="s">
        <v>110</v>
      </c>
      <c r="G37" s="19">
        <v>3.4</v>
      </c>
      <c r="H37" s="20">
        <v>4.19</v>
      </c>
      <c r="I37" s="105">
        <f>ROUND((((J37+K37))/24)+(L37+M37+N37)/18,2)</f>
        <v>0.28</v>
      </c>
      <c r="J37" s="106"/>
      <c r="K37" s="106"/>
      <c r="L37" s="160"/>
      <c r="M37" s="160">
        <v>3</v>
      </c>
      <c r="N37" s="108">
        <v>2</v>
      </c>
      <c r="O37" s="51">
        <f>SUM(J37:N37)</f>
        <v>5</v>
      </c>
      <c r="P37" s="110">
        <f>SUM(($H$4*H37)/24)*J37</f>
        <v>0</v>
      </c>
      <c r="Q37" s="121">
        <f>SUM(($H$4*H37)/24)*K37</f>
        <v>0</v>
      </c>
      <c r="R37" s="121">
        <f>($H$4*H37)/18*L37</f>
        <v>0</v>
      </c>
      <c r="S37" s="121">
        <f>($H$4*H37)*M37/18</f>
        <v>12358.405</v>
      </c>
      <c r="T37" s="121">
        <f>($H$4*H37)/18*N37</f>
        <v>8238.93666666667</v>
      </c>
      <c r="U37" s="121">
        <f>SUM(P37:T37)</f>
        <v>20597.3416666667</v>
      </c>
      <c r="V37" s="88">
        <f>SUM(V33:V36)</f>
        <v>0</v>
      </c>
      <c r="W37" s="121">
        <f>(U37*V37)/100</f>
        <v>0</v>
      </c>
      <c r="X37" s="121">
        <f>SUM(U37,W37)</f>
        <v>20597.3416666667</v>
      </c>
      <c r="Y37" s="122"/>
      <c r="Z37" s="121"/>
      <c r="AA37" s="123"/>
      <c r="AB37" s="93"/>
      <c r="AC37" s="110"/>
      <c r="AD37" s="110"/>
      <c r="AE37" s="122"/>
      <c r="AF37" s="93"/>
      <c r="AG37" s="122"/>
      <c r="AH37" s="126"/>
      <c r="AI37" s="122"/>
      <c r="AJ37" s="127"/>
      <c r="AK37" s="95"/>
      <c r="AL37" s="93"/>
      <c r="AM37" s="128"/>
      <c r="AN37" s="110"/>
      <c r="AO37" s="123"/>
      <c r="AP37" s="130"/>
      <c r="AQ37" s="110"/>
      <c r="AR37" s="110"/>
      <c r="AS37" s="122"/>
      <c r="AT37" s="110"/>
      <c r="AU37" s="122"/>
      <c r="AV37" s="110"/>
      <c r="AW37" s="128"/>
      <c r="AX37" s="110"/>
      <c r="AY37" s="122"/>
      <c r="AZ37" s="126"/>
      <c r="BA37" s="110"/>
      <c r="BB37" s="110"/>
      <c r="BC37" s="110"/>
      <c r="BD37" s="126"/>
      <c r="BE37" s="130">
        <v>6</v>
      </c>
      <c r="BF37" s="133">
        <f>SUM(((U37/O37*BE37)*0.3))</f>
        <v>7415.043</v>
      </c>
      <c r="BG37" s="134">
        <f>AL37+AN37+AP37+AT37+AV37+AX37+AZ37+BB37+BD37+BF37+AR37</f>
        <v>7415.043</v>
      </c>
      <c r="BH37" s="121">
        <f>BG37</f>
        <v>7415.043</v>
      </c>
      <c r="BI37" s="121">
        <f>BH37*12</f>
        <v>88980.516</v>
      </c>
    </row>
    <row r="38" ht="19.9" customHeight="1" spans="1:61">
      <c r="A38" s="15">
        <v>29</v>
      </c>
      <c r="B38" s="88" t="s">
        <v>353</v>
      </c>
      <c r="C38" s="89"/>
      <c r="D38" s="89"/>
      <c r="E38" s="90"/>
      <c r="F38" s="91"/>
      <c r="G38" s="92"/>
      <c r="H38" s="93"/>
      <c r="I38" s="88">
        <f t="shared" ref="I38:AN38" si="86">SUM(I35:I36)</f>
        <v>1.67</v>
      </c>
      <c r="J38" s="88">
        <f t="shared" si="86"/>
        <v>0</v>
      </c>
      <c r="K38" s="88">
        <f t="shared" si="86"/>
        <v>0</v>
      </c>
      <c r="L38" s="88">
        <f t="shared" si="86"/>
        <v>0</v>
      </c>
      <c r="M38" s="88">
        <f t="shared" si="86"/>
        <v>27</v>
      </c>
      <c r="N38" s="88">
        <f t="shared" si="86"/>
        <v>3</v>
      </c>
      <c r="O38" s="88">
        <f t="shared" si="86"/>
        <v>30</v>
      </c>
      <c r="P38" s="88">
        <f t="shared" si="86"/>
        <v>0</v>
      </c>
      <c r="Q38" s="88">
        <f t="shared" si="86"/>
        <v>0</v>
      </c>
      <c r="R38" s="88">
        <f t="shared" si="86"/>
        <v>0</v>
      </c>
      <c r="S38" s="88">
        <f t="shared" si="86"/>
        <v>111815.545</v>
      </c>
      <c r="T38" s="88">
        <f t="shared" si="86"/>
        <v>12476.385</v>
      </c>
      <c r="U38" s="88">
        <f t="shared" si="86"/>
        <v>124291.93</v>
      </c>
      <c r="V38" s="88">
        <f t="shared" si="86"/>
        <v>0</v>
      </c>
      <c r="W38" s="88">
        <f t="shared" si="86"/>
        <v>0</v>
      </c>
      <c r="X38" s="88">
        <f t="shared" si="86"/>
        <v>124291.93</v>
      </c>
      <c r="Y38" s="88">
        <f t="shared" si="86"/>
        <v>0</v>
      </c>
      <c r="Z38" s="88">
        <f t="shared" si="86"/>
        <v>0</v>
      </c>
      <c r="AA38" s="88">
        <f t="shared" si="86"/>
        <v>0</v>
      </c>
      <c r="AB38" s="88">
        <f t="shared" si="86"/>
        <v>0</v>
      </c>
      <c r="AC38" s="88">
        <f t="shared" si="86"/>
        <v>0</v>
      </c>
      <c r="AD38" s="88">
        <f t="shared" si="86"/>
        <v>0</v>
      </c>
      <c r="AE38" s="88">
        <f t="shared" si="86"/>
        <v>0</v>
      </c>
      <c r="AF38" s="88">
        <f t="shared" si="86"/>
        <v>0</v>
      </c>
      <c r="AG38" s="88">
        <f t="shared" si="86"/>
        <v>0</v>
      </c>
      <c r="AH38" s="88">
        <f t="shared" si="86"/>
        <v>0</v>
      </c>
      <c r="AI38" s="88">
        <f t="shared" si="86"/>
        <v>0</v>
      </c>
      <c r="AJ38" s="88">
        <f t="shared" si="86"/>
        <v>0</v>
      </c>
      <c r="AK38" s="88">
        <f t="shared" si="86"/>
        <v>0</v>
      </c>
      <c r="AL38" s="88">
        <f t="shared" si="86"/>
        <v>0</v>
      </c>
      <c r="AM38" s="88">
        <f t="shared" si="86"/>
        <v>0</v>
      </c>
      <c r="AN38" s="88">
        <f t="shared" si="86"/>
        <v>0</v>
      </c>
      <c r="AO38" s="88">
        <f t="shared" ref="AO38:BI38" si="87">SUM(AO35:AO36)</f>
        <v>0</v>
      </c>
      <c r="AP38" s="88">
        <f t="shared" si="87"/>
        <v>0</v>
      </c>
      <c r="AQ38" s="88">
        <f t="shared" si="87"/>
        <v>0</v>
      </c>
      <c r="AR38" s="88">
        <f t="shared" si="87"/>
        <v>0</v>
      </c>
      <c r="AS38" s="88">
        <f t="shared" si="87"/>
        <v>0</v>
      </c>
      <c r="AT38" s="88">
        <f t="shared" si="87"/>
        <v>0</v>
      </c>
      <c r="AU38" s="88">
        <f t="shared" si="87"/>
        <v>0</v>
      </c>
      <c r="AV38" s="88">
        <f t="shared" si="87"/>
        <v>0</v>
      </c>
      <c r="AW38" s="88">
        <f t="shared" si="87"/>
        <v>0</v>
      </c>
      <c r="AX38" s="88">
        <f t="shared" si="87"/>
        <v>0</v>
      </c>
      <c r="AY38" s="88">
        <f t="shared" si="87"/>
        <v>0</v>
      </c>
      <c r="AZ38" s="88">
        <f t="shared" si="87"/>
        <v>0</v>
      </c>
      <c r="BA38" s="88">
        <f t="shared" si="87"/>
        <v>0</v>
      </c>
      <c r="BB38" s="88">
        <f t="shared" si="87"/>
        <v>0</v>
      </c>
      <c r="BC38" s="88">
        <f t="shared" si="87"/>
        <v>0</v>
      </c>
      <c r="BD38" s="88">
        <f t="shared" si="87"/>
        <v>0</v>
      </c>
      <c r="BE38" s="88">
        <f t="shared" si="87"/>
        <v>30</v>
      </c>
      <c r="BF38" s="88">
        <f t="shared" si="87"/>
        <v>37287.579</v>
      </c>
      <c r="BG38" s="88">
        <f t="shared" si="87"/>
        <v>37287.579</v>
      </c>
      <c r="BH38" s="88">
        <f t="shared" si="87"/>
        <v>37287.579</v>
      </c>
      <c r="BI38" s="88">
        <f t="shared" si="87"/>
        <v>447450.948</v>
      </c>
    </row>
    <row r="39" ht="19.9" customHeight="1" spans="1:61">
      <c r="A39" s="87"/>
      <c r="B39" s="95" t="s">
        <v>142</v>
      </c>
      <c r="C39" s="95"/>
      <c r="D39" s="95"/>
      <c r="E39" s="95"/>
      <c r="F39" s="96"/>
      <c r="G39" s="95"/>
      <c r="H39" s="93"/>
      <c r="I39" s="88">
        <f t="shared" ref="I39:AN39" si="88">SUM(I15+I26+I34+I38)</f>
        <v>25.68</v>
      </c>
      <c r="J39" s="88">
        <f t="shared" si="88"/>
        <v>0</v>
      </c>
      <c r="K39" s="88">
        <f t="shared" si="88"/>
        <v>0</v>
      </c>
      <c r="L39" s="88">
        <f t="shared" si="88"/>
        <v>175</v>
      </c>
      <c r="M39" s="88">
        <f t="shared" si="88"/>
        <v>224</v>
      </c>
      <c r="N39" s="88">
        <f t="shared" si="88"/>
        <v>63</v>
      </c>
      <c r="O39" s="88">
        <f t="shared" si="88"/>
        <v>462</v>
      </c>
      <c r="P39" s="88">
        <f t="shared" si="88"/>
        <v>0</v>
      </c>
      <c r="Q39" s="88">
        <f t="shared" si="88"/>
        <v>0</v>
      </c>
      <c r="R39" s="88">
        <f t="shared" si="88"/>
        <v>849180.713333333</v>
      </c>
      <c r="S39" s="88">
        <f t="shared" si="88"/>
        <v>1086359.84</v>
      </c>
      <c r="T39" s="88">
        <f t="shared" si="88"/>
        <v>308158.844166667</v>
      </c>
      <c r="U39" s="88">
        <f t="shared" si="88"/>
        <v>2243699.3975</v>
      </c>
      <c r="V39" s="88">
        <f t="shared" si="88"/>
        <v>0</v>
      </c>
      <c r="W39" s="88">
        <f t="shared" si="88"/>
        <v>0</v>
      </c>
      <c r="X39" s="88">
        <f t="shared" si="88"/>
        <v>2243699.3975</v>
      </c>
      <c r="Y39" s="88">
        <f t="shared" si="88"/>
        <v>0</v>
      </c>
      <c r="Z39" s="88">
        <f t="shared" si="88"/>
        <v>0</v>
      </c>
      <c r="AA39" s="88">
        <f t="shared" si="88"/>
        <v>0</v>
      </c>
      <c r="AB39" s="88">
        <f t="shared" si="88"/>
        <v>0</v>
      </c>
      <c r="AC39" s="88">
        <f t="shared" si="88"/>
        <v>0</v>
      </c>
      <c r="AD39" s="88">
        <f t="shared" si="88"/>
        <v>0</v>
      </c>
      <c r="AE39" s="88">
        <f t="shared" si="88"/>
        <v>0</v>
      </c>
      <c r="AF39" s="88">
        <f t="shared" si="88"/>
        <v>0</v>
      </c>
      <c r="AG39" s="88">
        <f t="shared" si="88"/>
        <v>0</v>
      </c>
      <c r="AH39" s="88">
        <f t="shared" si="88"/>
        <v>0</v>
      </c>
      <c r="AI39" s="88">
        <f t="shared" si="88"/>
        <v>0</v>
      </c>
      <c r="AJ39" s="88">
        <f t="shared" si="88"/>
        <v>0</v>
      </c>
      <c r="AK39" s="88">
        <f t="shared" si="88"/>
        <v>0</v>
      </c>
      <c r="AL39" s="88">
        <f t="shared" si="88"/>
        <v>0</v>
      </c>
      <c r="AM39" s="88">
        <f t="shared" si="88"/>
        <v>0</v>
      </c>
      <c r="AN39" s="88">
        <f t="shared" si="88"/>
        <v>0</v>
      </c>
      <c r="AO39" s="88">
        <f t="shared" ref="AO39:BI39" si="89">SUM(AO15+AO26+AO34+AO38)</f>
        <v>0</v>
      </c>
      <c r="AP39" s="88">
        <f t="shared" si="89"/>
        <v>0</v>
      </c>
      <c r="AQ39" s="88">
        <f t="shared" si="89"/>
        <v>0</v>
      </c>
      <c r="AR39" s="88">
        <f t="shared" si="89"/>
        <v>0</v>
      </c>
      <c r="AS39" s="88">
        <f t="shared" si="89"/>
        <v>0</v>
      </c>
      <c r="AT39" s="88">
        <f t="shared" si="89"/>
        <v>0</v>
      </c>
      <c r="AU39" s="88">
        <f t="shared" si="89"/>
        <v>0</v>
      </c>
      <c r="AV39" s="88">
        <f t="shared" si="89"/>
        <v>0</v>
      </c>
      <c r="AW39" s="88">
        <f t="shared" si="89"/>
        <v>0</v>
      </c>
      <c r="AX39" s="88">
        <f t="shared" si="89"/>
        <v>0</v>
      </c>
      <c r="AY39" s="88">
        <f t="shared" si="89"/>
        <v>0</v>
      </c>
      <c r="AZ39" s="88">
        <f t="shared" si="89"/>
        <v>0</v>
      </c>
      <c r="BA39" s="88">
        <f t="shared" si="89"/>
        <v>0</v>
      </c>
      <c r="BB39" s="88">
        <f t="shared" si="89"/>
        <v>0</v>
      </c>
      <c r="BC39" s="88">
        <f t="shared" si="89"/>
        <v>0</v>
      </c>
      <c r="BD39" s="88">
        <f t="shared" si="89"/>
        <v>0</v>
      </c>
      <c r="BE39" s="88">
        <f t="shared" si="89"/>
        <v>447.5</v>
      </c>
      <c r="BF39" s="88">
        <f t="shared" si="89"/>
        <v>651565.1965</v>
      </c>
      <c r="BG39" s="88">
        <f t="shared" si="89"/>
        <v>651565.1965</v>
      </c>
      <c r="BH39" s="88">
        <f t="shared" si="89"/>
        <v>651565.1965</v>
      </c>
      <c r="BI39" s="88">
        <f t="shared" si="89"/>
        <v>7818782.358</v>
      </c>
    </row>
    <row r="40" ht="18.75" customHeight="1" spans="1:61">
      <c r="A40" s="94"/>
      <c r="B40" s="98"/>
      <c r="C40" s="98"/>
      <c r="D40" s="98"/>
      <c r="E40" s="98"/>
      <c r="F40" s="99"/>
      <c r="G40" s="98"/>
      <c r="H40" s="98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54"/>
    </row>
    <row r="41" ht="18.75" customHeight="1" spans="1:61">
      <c r="A41" s="97"/>
      <c r="B41" s="100"/>
      <c r="C41" s="101" t="s">
        <v>340</v>
      </c>
      <c r="D41" s="101"/>
      <c r="E41" s="38" t="s">
        <v>298</v>
      </c>
      <c r="F41" s="102"/>
      <c r="G41" s="103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54"/>
      <c r="T41" s="101" t="s">
        <v>143</v>
      </c>
      <c r="U41" s="101"/>
      <c r="V41" s="54"/>
      <c r="W41" s="103"/>
      <c r="X41" s="103" t="s">
        <v>144</v>
      </c>
      <c r="Y41" s="103" t="s">
        <v>341</v>
      </c>
      <c r="Z41" s="54"/>
      <c r="AA41" s="54"/>
      <c r="AB41" s="54"/>
      <c r="AC41" s="54"/>
      <c r="AD41" s="54"/>
      <c r="AE41" s="124"/>
      <c r="AF41" s="54"/>
      <c r="AG41" s="124"/>
      <c r="AH41" s="54"/>
      <c r="AI41" s="12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</row>
    <row r="42" ht="20.1" customHeight="1" spans="1:61">
      <c r="A42" s="98"/>
      <c r="B42" s="100"/>
      <c r="C42" s="101"/>
      <c r="D42" s="101"/>
      <c r="E42" s="38"/>
      <c r="F42" s="102"/>
      <c r="G42" s="103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54"/>
      <c r="T42" s="101"/>
      <c r="U42" s="101"/>
      <c r="V42" s="54"/>
      <c r="W42" s="103"/>
      <c r="X42" s="103"/>
      <c r="Y42" s="103"/>
      <c r="Z42" s="54"/>
      <c r="AA42" s="54"/>
      <c r="AB42" s="54"/>
      <c r="AC42" s="54"/>
      <c r="AD42" s="54"/>
      <c r="AE42" s="124"/>
      <c r="AF42" s="54"/>
      <c r="AG42" s="124"/>
      <c r="AH42" s="54"/>
      <c r="AI42" s="12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</row>
    <row r="43" ht="15.75" spans="1:61">
      <c r="A43" s="98"/>
      <c r="B43" s="100"/>
      <c r="C43" s="103" t="s">
        <v>149</v>
      </c>
      <c r="D43" s="103"/>
      <c r="E43" s="38" t="s">
        <v>354</v>
      </c>
      <c r="F43" s="102"/>
      <c r="G43" s="103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54"/>
      <c r="T43" s="101" t="s">
        <v>342</v>
      </c>
      <c r="U43" s="101"/>
      <c r="V43" s="54"/>
      <c r="W43" s="103"/>
      <c r="X43" s="103" t="s">
        <v>148</v>
      </c>
      <c r="Y43" s="103"/>
      <c r="Z43" s="54"/>
      <c r="AA43" s="54"/>
      <c r="AB43" s="54"/>
      <c r="AC43" s="54"/>
      <c r="AD43" s="54"/>
      <c r="AE43" s="124"/>
      <c r="AF43" s="54"/>
      <c r="AG43" s="124"/>
      <c r="AH43" s="54"/>
      <c r="AI43" s="12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</row>
    <row r="44" ht="15.75" spans="1:61">
      <c r="A44" s="98"/>
      <c r="B44" s="54"/>
      <c r="C44" s="103"/>
      <c r="D44" s="103"/>
      <c r="E44" s="103"/>
      <c r="F44" s="103"/>
      <c r="G44" s="103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54"/>
      <c r="T44" s="101"/>
      <c r="U44" s="101" t="s">
        <v>331</v>
      </c>
      <c r="V44" s="54"/>
      <c r="W44" s="103"/>
      <c r="X44" s="103"/>
      <c r="Y44" s="103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</row>
    <row r="45" ht="15.75" spans="1:61">
      <c r="A45" s="98"/>
      <c r="B45" s="54"/>
      <c r="C45" s="103" t="s">
        <v>153</v>
      </c>
      <c r="D45" s="103"/>
      <c r="E45" s="103" t="s">
        <v>154</v>
      </c>
      <c r="F45" s="101"/>
      <c r="G45" s="103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54"/>
      <c r="T45" s="101" t="s">
        <v>355</v>
      </c>
      <c r="U45" s="101"/>
      <c r="V45" s="54"/>
      <c r="W45" s="103"/>
      <c r="X45" s="103" t="s">
        <v>344</v>
      </c>
      <c r="Y45" s="103" t="s">
        <v>343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</row>
    <row r="46" ht="15.75" spans="1:61">
      <c r="A46" s="54"/>
      <c r="B46" s="54"/>
      <c r="C46" s="103"/>
      <c r="D46" s="103"/>
      <c r="E46" s="103"/>
      <c r="F46" s="103"/>
      <c r="G46" s="103"/>
      <c r="H46" s="103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54"/>
      <c r="T46" s="101" t="s">
        <v>151</v>
      </c>
      <c r="U46" s="101"/>
      <c r="V46" s="54"/>
      <c r="W46" s="103"/>
      <c r="X46" s="103" t="s">
        <v>152</v>
      </c>
      <c r="Y46" s="103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</row>
    <row r="47" ht="15.75" spans="1:61">
      <c r="A47" s="54"/>
      <c r="B47" s="54"/>
      <c r="C47" s="103"/>
      <c r="D47" s="103"/>
      <c r="E47" s="103"/>
      <c r="F47" s="101"/>
      <c r="G47" s="103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54"/>
      <c r="T47" s="101"/>
      <c r="U47" s="101"/>
      <c r="V47" s="54"/>
      <c r="W47" s="103"/>
      <c r="X47" s="103"/>
      <c r="Y47" s="103" t="s">
        <v>152</v>
      </c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1"/>
    </row>
    <row r="48" ht="15.75" spans="1:61">
      <c r="A48" s="5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ht="15.75" spans="1:61">
      <c r="A49" s="5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ht="15.6" customHeight="1" spans="1:60">
      <c r="A50" s="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ht="15.75" spans="1:1">
      <c r="A51" s="1"/>
    </row>
    <row r="52" ht="15.75" spans="1:1">
      <c r="A52" s="1"/>
    </row>
    <row r="53" ht="15.75" spans="1:1">
      <c r="A53" s="1"/>
    </row>
  </sheetData>
  <mergeCells count="35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46:U46"/>
    <mergeCell ref="T47:U47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47" fitToWidth="2" orientation="landscape"/>
  <headerFooter/>
  <colBreaks count="1" manualBreakCount="1">
    <brk id="16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Q28"/>
  <sheetViews>
    <sheetView view="pageBreakPreview" zoomScale="70" zoomScaleNormal="80" workbookViewId="0">
      <pane xSplit="15" ySplit="7" topLeftCell="P8" activePane="bottomRight" state="frozen"/>
      <selection/>
      <selection pane="topRight"/>
      <selection pane="bottomLeft"/>
      <selection pane="bottomRight" activeCell="B9" sqref="B9"/>
    </sheetView>
  </sheetViews>
  <sheetFormatPr defaultColWidth="9.14285714285714" defaultRowHeight="15"/>
  <cols>
    <col min="1" max="1" width="4.42857142857143" style="77" customWidth="1"/>
    <col min="2" max="2" width="45" style="77" customWidth="1"/>
    <col min="3" max="3" width="26.1428571428571" style="77" customWidth="1"/>
    <col min="4" max="4" width="15" style="77" customWidth="1"/>
    <col min="5" max="5" width="9.85714285714286" style="77" customWidth="1"/>
    <col min="6" max="6" width="13.4285714285714" style="77" customWidth="1"/>
    <col min="7" max="7" width="15.1428571428571" style="77" customWidth="1"/>
    <col min="8" max="8" width="9.14285714285714" style="77"/>
    <col min="9" max="9" width="10.8571428571429" style="77" customWidth="1"/>
    <col min="10" max="13" width="9.14285714285714" style="77"/>
    <col min="14" max="14" width="11" style="77" customWidth="1"/>
    <col min="15" max="15" width="9.14285714285714" style="77"/>
    <col min="16" max="16" width="10.8571428571429" style="77" customWidth="1"/>
    <col min="17" max="17" width="13.2857142857143" style="77" customWidth="1"/>
    <col min="18" max="20" width="15.2857142857143" style="77" customWidth="1"/>
    <col min="21" max="21" width="18" style="77" customWidth="1"/>
    <col min="22" max="22" width="11.2857142857143" style="77" customWidth="1"/>
    <col min="23" max="23" width="16.4285714285714" style="77" customWidth="1"/>
    <col min="24" max="24" width="16" style="77" customWidth="1"/>
    <col min="25" max="25" width="11.5714285714286" style="77" hidden="1" customWidth="1"/>
    <col min="26" max="26" width="14.5714285714286" style="77" hidden="1" customWidth="1"/>
    <col min="27" max="27" width="10.4285714285714" style="77" hidden="1" customWidth="1"/>
    <col min="28" max="28" width="14.8571428571429" style="77" hidden="1" customWidth="1"/>
    <col min="29" max="29" width="8.71428571428571" style="77" hidden="1" customWidth="1"/>
    <col min="30" max="30" width="13.1428571428571" style="77" hidden="1" customWidth="1"/>
    <col min="31" max="31" width="10" style="77" hidden="1" customWidth="1"/>
    <col min="32" max="32" width="14.4285714285714" style="77" hidden="1" customWidth="1"/>
    <col min="33" max="33" width="10.4285714285714" style="77" hidden="1" customWidth="1"/>
    <col min="34" max="34" width="14.4285714285714" style="77" hidden="1" customWidth="1"/>
    <col min="35" max="35" width="8.57142857142857" style="77" hidden="1" customWidth="1"/>
    <col min="36" max="36" width="13" style="77" hidden="1" customWidth="1"/>
    <col min="37" max="37" width="10.2857142857143" style="77" hidden="1" customWidth="1"/>
    <col min="38" max="38" width="15.2857142857143" style="77" hidden="1" customWidth="1"/>
    <col min="39" max="39" width="7.85714285714286" style="77" hidden="1" customWidth="1"/>
    <col min="40" max="40" width="15" style="77" hidden="1" customWidth="1"/>
    <col min="41" max="41" width="9.57142857142857" style="77" hidden="1" customWidth="1"/>
    <col min="42" max="42" width="15" style="77" hidden="1" customWidth="1"/>
    <col min="43" max="43" width="0.142857142857143" style="77" hidden="1" customWidth="1"/>
    <col min="44" max="44" width="13.4285714285714" style="77" hidden="1" customWidth="1"/>
    <col min="45" max="45" width="8.85714285714286" style="77" hidden="1" customWidth="1"/>
    <col min="46" max="46" width="14.2857142857143" style="77" hidden="1" customWidth="1"/>
    <col min="47" max="47" width="7.28571428571429" style="77" hidden="1" customWidth="1"/>
    <col min="48" max="48" width="13.1428571428571" style="77" hidden="1" customWidth="1"/>
    <col min="49" max="49" width="9.42857142857143" style="77" hidden="1" customWidth="1"/>
    <col min="50" max="50" width="13.2857142857143" style="77" hidden="1" customWidth="1"/>
    <col min="51" max="51" width="11.4285714285714" style="77" hidden="1" customWidth="1"/>
    <col min="52" max="52" width="16.7142857142857" style="77" hidden="1" customWidth="1"/>
    <col min="53" max="53" width="17.8571428571429" style="77" hidden="1" customWidth="1"/>
    <col min="54" max="54" width="12.8571428571429" style="77" hidden="1" customWidth="1"/>
    <col min="55" max="55" width="9.14285714285714" style="77" hidden="1" customWidth="1"/>
    <col min="56" max="56" width="13.1428571428571" style="77" hidden="1" customWidth="1"/>
    <col min="57" max="57" width="13.1428571428571" style="77" customWidth="1"/>
    <col min="58" max="58" width="19" style="77" customWidth="1"/>
    <col min="59" max="59" width="16.5714285714286" style="77" customWidth="1"/>
    <col min="60" max="60" width="15.1428571428571" style="77" customWidth="1"/>
    <col min="61" max="61" width="17.2857142857143" style="77" customWidth="1"/>
    <col min="62" max="16384" width="9.14285714285714" style="77"/>
  </cols>
  <sheetData>
    <row r="1" ht="15.75" spans="1:6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4"/>
      <c r="W1" s="1"/>
      <c r="X1" s="1"/>
      <c r="Y1" s="1"/>
      <c r="Z1" s="1"/>
      <c r="AA1" s="1"/>
      <c r="AB1" s="1"/>
      <c r="AC1" s="1"/>
      <c r="AD1" s="54"/>
      <c r="AE1" s="1"/>
      <c r="AF1" s="1"/>
      <c r="AG1" s="1"/>
      <c r="AH1" s="1"/>
      <c r="AI1" s="1"/>
      <c r="AJ1" s="1"/>
      <c r="AK1" s="1"/>
      <c r="AL1" s="1"/>
      <c r="AM1" s="5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27.75" customHeight="1" spans="1:61">
      <c r="A2" s="1"/>
      <c r="B2" s="3" t="s">
        <v>301</v>
      </c>
      <c r="C2" s="3"/>
      <c r="D2" s="3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54"/>
      <c r="W2" s="1"/>
      <c r="X2" s="1"/>
      <c r="Y2" s="1"/>
      <c r="Z2" s="1"/>
      <c r="AA2" s="1"/>
      <c r="AB2" s="1"/>
      <c r="AC2" s="1"/>
      <c r="AD2" s="54"/>
      <c r="AE2" s="1"/>
      <c r="AF2" s="1"/>
      <c r="AG2" s="1"/>
      <c r="AH2" s="1"/>
      <c r="AI2" s="1"/>
      <c r="AJ2" s="1"/>
      <c r="AK2" s="1"/>
      <c r="AL2" s="1"/>
      <c r="AM2" s="5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5.75" spans="1:61">
      <c r="A3" s="1"/>
      <c r="B3" s="2" t="s">
        <v>2</v>
      </c>
      <c r="C3" s="2"/>
      <c r="D3" s="2"/>
      <c r="E3" s="5"/>
      <c r="F3" s="5"/>
      <c r="G3" s="1"/>
      <c r="H3" s="1"/>
      <c r="I3" s="1"/>
      <c r="J3" s="1"/>
      <c r="K3" s="42" t="s">
        <v>347</v>
      </c>
      <c r="L3" s="42"/>
      <c r="M3" s="42"/>
      <c r="N3" s="42"/>
      <c r="O3" s="42"/>
      <c r="P3" s="42"/>
      <c r="Q3" s="42"/>
      <c r="R3" s="42"/>
      <c r="S3" s="42"/>
      <c r="T3" s="42"/>
      <c r="U3" s="1"/>
      <c r="V3" s="54"/>
      <c r="W3" s="1"/>
      <c r="X3" s="1"/>
      <c r="Y3" s="1"/>
      <c r="Z3" s="1"/>
      <c r="AA3" s="1"/>
      <c r="AB3" s="1"/>
      <c r="AC3" s="1"/>
      <c r="AD3" s="54"/>
      <c r="AE3" s="1"/>
      <c r="AF3" s="1"/>
      <c r="AG3" s="1"/>
      <c r="AH3" s="1"/>
      <c r="AI3" s="1"/>
      <c r="AJ3" s="1"/>
      <c r="AK3" s="1"/>
      <c r="AL3" s="1"/>
      <c r="AM3" s="5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5.75" spans="1:61">
      <c r="A4" s="6"/>
      <c r="B4" s="6"/>
      <c r="C4" s="6"/>
      <c r="D4" s="6"/>
      <c r="E4" s="6"/>
      <c r="F4" s="6"/>
      <c r="G4" s="6" t="s">
        <v>4</v>
      </c>
      <c r="H4" s="7">
        <v>17697</v>
      </c>
      <c r="I4" s="6"/>
      <c r="J4" s="6"/>
      <c r="K4" s="43"/>
      <c r="L4" s="43"/>
      <c r="M4" s="43"/>
      <c r="N4" s="43"/>
      <c r="O4" s="43"/>
      <c r="P4" s="43"/>
      <c r="Q4" s="43"/>
      <c r="R4" s="43"/>
      <c r="S4" s="43"/>
      <c r="T4" s="4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customHeight="1" spans="1:61">
      <c r="A5" s="78" t="s">
        <v>5</v>
      </c>
      <c r="B5" s="79" t="s">
        <v>6</v>
      </c>
      <c r="C5" s="79" t="s">
        <v>7</v>
      </c>
      <c r="D5" s="79" t="s">
        <v>8</v>
      </c>
      <c r="E5" s="79" t="s">
        <v>9</v>
      </c>
      <c r="F5" s="79"/>
      <c r="G5" s="79"/>
      <c r="H5" s="79"/>
      <c r="I5" s="79" t="s">
        <v>10</v>
      </c>
      <c r="J5" s="79"/>
      <c r="K5" s="79"/>
      <c r="L5" s="79"/>
      <c r="M5" s="79"/>
      <c r="N5" s="79"/>
      <c r="O5" s="79"/>
      <c r="P5" s="79" t="s">
        <v>11</v>
      </c>
      <c r="Q5" s="79"/>
      <c r="R5" s="79"/>
      <c r="S5" s="79"/>
      <c r="T5" s="79"/>
      <c r="U5" s="79"/>
      <c r="V5" s="115" t="s">
        <v>12</v>
      </c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31"/>
      <c r="BH5" s="79" t="s">
        <v>13</v>
      </c>
      <c r="BI5" s="79" t="s">
        <v>14</v>
      </c>
    </row>
    <row r="6" ht="97.5" customHeight="1" spans="1:61">
      <c r="A6" s="80"/>
      <c r="B6" s="79"/>
      <c r="C6" s="79"/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9" t="s">
        <v>20</v>
      </c>
      <c r="J6" s="79" t="s">
        <v>21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17" t="s">
        <v>22</v>
      </c>
      <c r="W6" s="118"/>
      <c r="X6" s="119" t="s">
        <v>23</v>
      </c>
      <c r="Y6" s="79" t="s">
        <v>24</v>
      </c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 t="s">
        <v>25</v>
      </c>
      <c r="AN6" s="79"/>
      <c r="AO6" s="79"/>
      <c r="AP6" s="79"/>
      <c r="AQ6" s="79" t="s">
        <v>26</v>
      </c>
      <c r="AR6" s="79"/>
      <c r="AS6" s="117" t="s">
        <v>27</v>
      </c>
      <c r="AT6" s="118"/>
      <c r="AU6" s="117" t="s">
        <v>28</v>
      </c>
      <c r="AV6" s="118"/>
      <c r="AW6" s="117" t="s">
        <v>29</v>
      </c>
      <c r="AX6" s="118"/>
      <c r="AY6" s="79" t="s">
        <v>30</v>
      </c>
      <c r="AZ6" s="79"/>
      <c r="BA6" s="79" t="s">
        <v>31</v>
      </c>
      <c r="BB6" s="79"/>
      <c r="BC6" s="79" t="s">
        <v>32</v>
      </c>
      <c r="BD6" s="79"/>
      <c r="BE6" s="117" t="s">
        <v>348</v>
      </c>
      <c r="BF6" s="118"/>
      <c r="BG6" s="79" t="s">
        <v>34</v>
      </c>
      <c r="BH6" s="79"/>
      <c r="BI6" s="79"/>
    </row>
    <row r="7" ht="157.5" spans="1:61">
      <c r="A7" s="81"/>
      <c r="B7" s="79"/>
      <c r="C7" s="79"/>
      <c r="D7" s="79"/>
      <c r="E7" s="79"/>
      <c r="F7" s="79"/>
      <c r="G7" s="79"/>
      <c r="H7" s="79"/>
      <c r="I7" s="79"/>
      <c r="J7" s="79" t="s">
        <v>35</v>
      </c>
      <c r="K7" s="79" t="s">
        <v>36</v>
      </c>
      <c r="L7" s="104" t="s">
        <v>37</v>
      </c>
      <c r="M7" s="104" t="s">
        <v>38</v>
      </c>
      <c r="N7" s="104" t="s">
        <v>39</v>
      </c>
      <c r="O7" s="79" t="s">
        <v>40</v>
      </c>
      <c r="P7" s="79" t="s">
        <v>35</v>
      </c>
      <c r="Q7" s="79" t="s">
        <v>36</v>
      </c>
      <c r="R7" s="79" t="s">
        <v>37</v>
      </c>
      <c r="S7" s="79" t="s">
        <v>38</v>
      </c>
      <c r="T7" s="79" t="s">
        <v>39</v>
      </c>
      <c r="U7" s="79" t="s">
        <v>41</v>
      </c>
      <c r="V7" s="79" t="s">
        <v>42</v>
      </c>
      <c r="W7" s="120" t="s">
        <v>43</v>
      </c>
      <c r="X7" s="119"/>
      <c r="Y7" s="79" t="s">
        <v>44</v>
      </c>
      <c r="Z7" s="79" t="s">
        <v>45</v>
      </c>
      <c r="AA7" s="79" t="s">
        <v>44</v>
      </c>
      <c r="AB7" s="79" t="s">
        <v>46</v>
      </c>
      <c r="AC7" s="79" t="s">
        <v>44</v>
      </c>
      <c r="AD7" s="79" t="s">
        <v>47</v>
      </c>
      <c r="AE7" s="79" t="s">
        <v>44</v>
      </c>
      <c r="AF7" s="79" t="s">
        <v>37</v>
      </c>
      <c r="AG7" s="79" t="s">
        <v>44</v>
      </c>
      <c r="AH7" s="79" t="s">
        <v>48</v>
      </c>
      <c r="AI7" s="79" t="s">
        <v>44</v>
      </c>
      <c r="AJ7" s="79" t="s">
        <v>39</v>
      </c>
      <c r="AK7" s="125" t="s">
        <v>49</v>
      </c>
      <c r="AL7" s="79" t="s">
        <v>50</v>
      </c>
      <c r="AM7" s="79" t="s">
        <v>51</v>
      </c>
      <c r="AN7" s="79" t="s">
        <v>52</v>
      </c>
      <c r="AO7" s="79" t="s">
        <v>51</v>
      </c>
      <c r="AP7" s="129" t="s">
        <v>53</v>
      </c>
      <c r="AQ7" s="79" t="s">
        <v>51</v>
      </c>
      <c r="AR7" s="79" t="s">
        <v>43</v>
      </c>
      <c r="AS7" s="79" t="s">
        <v>54</v>
      </c>
      <c r="AT7" s="79" t="s">
        <v>43</v>
      </c>
      <c r="AU7" s="79" t="s">
        <v>54</v>
      </c>
      <c r="AV7" s="79" t="s">
        <v>43</v>
      </c>
      <c r="AW7" s="79" t="s">
        <v>54</v>
      </c>
      <c r="AX7" s="79" t="s">
        <v>43</v>
      </c>
      <c r="AY7" s="79" t="s">
        <v>51</v>
      </c>
      <c r="AZ7" s="79" t="s">
        <v>43</v>
      </c>
      <c r="BA7" s="79" t="s">
        <v>55</v>
      </c>
      <c r="BB7" s="79" t="s">
        <v>43</v>
      </c>
      <c r="BC7" s="79" t="s">
        <v>42</v>
      </c>
      <c r="BD7" s="79" t="s">
        <v>43</v>
      </c>
      <c r="BE7" s="132" t="s">
        <v>339</v>
      </c>
      <c r="BF7" s="79" t="s">
        <v>43</v>
      </c>
      <c r="BG7" s="79"/>
      <c r="BH7" s="79"/>
      <c r="BI7" s="79"/>
    </row>
    <row r="8" ht="15.75" spans="1:61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79">
        <v>29</v>
      </c>
      <c r="AD8" s="79">
        <v>30</v>
      </c>
      <c r="AE8" s="79">
        <v>31</v>
      </c>
      <c r="AF8" s="79">
        <v>32</v>
      </c>
      <c r="AG8" s="79">
        <v>33</v>
      </c>
      <c r="AH8" s="79">
        <v>34</v>
      </c>
      <c r="AI8" s="79">
        <v>35</v>
      </c>
      <c r="AJ8" s="79">
        <v>36</v>
      </c>
      <c r="AK8" s="79">
        <v>37</v>
      </c>
      <c r="AL8" s="79">
        <v>38</v>
      </c>
      <c r="AM8" s="79">
        <v>39</v>
      </c>
      <c r="AN8" s="79">
        <v>40</v>
      </c>
      <c r="AO8" s="79">
        <v>41</v>
      </c>
      <c r="AP8" s="79">
        <v>42</v>
      </c>
      <c r="AQ8" s="79">
        <v>43</v>
      </c>
      <c r="AR8" s="79">
        <v>44</v>
      </c>
      <c r="AS8" s="79">
        <v>45</v>
      </c>
      <c r="AT8" s="79">
        <v>46</v>
      </c>
      <c r="AU8" s="79">
        <v>47</v>
      </c>
      <c r="AV8" s="79">
        <v>48</v>
      </c>
      <c r="AW8" s="79">
        <v>49</v>
      </c>
      <c r="AX8" s="79">
        <v>50</v>
      </c>
      <c r="AY8" s="79">
        <v>51</v>
      </c>
      <c r="AZ8" s="79">
        <v>52</v>
      </c>
      <c r="BA8" s="79">
        <v>53</v>
      </c>
      <c r="BB8" s="79">
        <v>54</v>
      </c>
      <c r="BC8" s="79">
        <v>55</v>
      </c>
      <c r="BD8" s="79">
        <v>56</v>
      </c>
      <c r="BE8" s="79"/>
      <c r="BF8" s="79">
        <v>57</v>
      </c>
      <c r="BG8" s="79">
        <v>58</v>
      </c>
      <c r="BH8" s="79">
        <v>59</v>
      </c>
      <c r="BI8" s="79">
        <v>60</v>
      </c>
    </row>
    <row r="9" ht="18.75" customHeight="1" spans="1:61">
      <c r="A9" s="82">
        <v>1</v>
      </c>
      <c r="B9" s="15" t="s">
        <v>111</v>
      </c>
      <c r="C9" s="16" t="s">
        <v>112</v>
      </c>
      <c r="D9" s="15" t="s">
        <v>59</v>
      </c>
      <c r="E9" s="17" t="s">
        <v>109</v>
      </c>
      <c r="F9" s="18" t="s">
        <v>113</v>
      </c>
      <c r="G9" s="19">
        <v>3.4</v>
      </c>
      <c r="H9" s="20">
        <v>4.59</v>
      </c>
      <c r="I9" s="105">
        <f t="shared" ref="I9:I15" si="0">ROUND((((J9+K9))/24)+(L9+M9+N9)/18,2)</f>
        <v>1.61</v>
      </c>
      <c r="J9" s="106"/>
      <c r="K9" s="106">
        <v>4</v>
      </c>
      <c r="L9" s="107">
        <v>8</v>
      </c>
      <c r="M9" s="107">
        <v>15</v>
      </c>
      <c r="N9" s="108">
        <v>3</v>
      </c>
      <c r="O9" s="109">
        <f t="shared" ref="O9:O15" si="1">SUM(J9:N9)</f>
        <v>30</v>
      </c>
      <c r="P9" s="110">
        <f t="shared" ref="P9:P14" si="2">SUM(($H$4*H9)/24)*J9</f>
        <v>0</v>
      </c>
      <c r="Q9" s="121">
        <f t="shared" ref="Q9:Q15" si="3">SUM(($H$4*H9)/24)*K9</f>
        <v>13538.205</v>
      </c>
      <c r="R9" s="121">
        <f t="shared" ref="R9:R15" si="4">($H$4*H9)/18*L9</f>
        <v>36101.88</v>
      </c>
      <c r="S9" s="121">
        <f t="shared" ref="S9:S15" si="5">($H$4*H9)*M9/18</f>
        <v>67691.025</v>
      </c>
      <c r="T9" s="121">
        <f t="shared" ref="T9:T15" si="6">($H$4*H9)/18*N9</f>
        <v>13538.205</v>
      </c>
      <c r="U9" s="121">
        <f t="shared" ref="U9:U15" si="7">SUM(P9:T9)</f>
        <v>130869.315</v>
      </c>
      <c r="V9" s="122"/>
      <c r="W9" s="121">
        <f t="shared" ref="W9:W15" si="8">(U9*V9)/100</f>
        <v>0</v>
      </c>
      <c r="X9" s="121">
        <f t="shared" ref="X9:X15" si="9">SUM(U9,W9)</f>
        <v>130869.315</v>
      </c>
      <c r="Y9" s="122"/>
      <c r="Z9" s="121">
        <f>($H$4*0.25)*Y9/18</f>
        <v>0</v>
      </c>
      <c r="AA9" s="123"/>
      <c r="AB9" s="93">
        <f>SUM(($H$4*0.25)/18)*AA9</f>
        <v>0</v>
      </c>
      <c r="AC9" s="110"/>
      <c r="AD9" s="110">
        <f>SUM(($H$4*0.25)/18*AC9)</f>
        <v>0</v>
      </c>
      <c r="AE9" s="122"/>
      <c r="AF9" s="93">
        <f>SUM(($H$4*0.2)/18)*AE9</f>
        <v>0</v>
      </c>
      <c r="AG9" s="122"/>
      <c r="AH9" s="126">
        <f>SUM(($H$4*0.2)/18)*AG9</f>
        <v>0</v>
      </c>
      <c r="AI9" s="122"/>
      <c r="AJ9" s="127">
        <f>SUM(($H$4*0.2)/18)*AI9</f>
        <v>0</v>
      </c>
      <c r="AK9" s="95">
        <f t="shared" ref="AK9:AL11" si="10">SUM(Y9,AA9,AC9,AE9,AG9,AI9)</f>
        <v>0</v>
      </c>
      <c r="AL9" s="93">
        <f t="shared" si="10"/>
        <v>0</v>
      </c>
      <c r="AM9" s="128"/>
      <c r="AN9" s="110">
        <f>SUM($H$4*0.25)*AM9</f>
        <v>0</v>
      </c>
      <c r="AO9" s="123"/>
      <c r="AP9" s="130">
        <f>SUM($H$4*0.3)*AO9</f>
        <v>0</v>
      </c>
      <c r="AQ9" s="110"/>
      <c r="AR9" s="110">
        <f>SUM($H$4*0.2*AQ9)</f>
        <v>0</v>
      </c>
      <c r="AS9" s="122"/>
      <c r="AT9" s="110">
        <f>SUM($H$4*$H9*AS9/18)</f>
        <v>0</v>
      </c>
      <c r="AU9" s="122"/>
      <c r="AV9" s="110">
        <f>SUM($H$4*$H9*AU9/18)*0.7</f>
        <v>0</v>
      </c>
      <c r="AW9" s="128"/>
      <c r="AX9" s="110">
        <f>SUM($H$4*$H9*AW9/18)*0.3</f>
        <v>0</v>
      </c>
      <c r="AY9" s="122"/>
      <c r="AZ9" s="126">
        <f>SUM(($H$4*0.25)/18)*AY9</f>
        <v>0</v>
      </c>
      <c r="BA9" s="110"/>
      <c r="BB9" s="110">
        <f>SUM($H$4*0.2)*BA9</f>
        <v>0</v>
      </c>
      <c r="BC9" s="110"/>
      <c r="BD9" s="126">
        <f>((($H$4*BC9)/100)*20)/100</f>
        <v>0</v>
      </c>
      <c r="BE9" s="130">
        <f t="shared" ref="BE9:BE15" si="11">SUM(O9)</f>
        <v>30</v>
      </c>
      <c r="BF9" s="133">
        <f t="shared" ref="BF9:BF15" si="12">SUM((U9/O9*BE9)*0.3)</f>
        <v>39260.7945</v>
      </c>
      <c r="BG9" s="134">
        <f>AL9+AN9+AP9+AT9+AV9+AX9+AZ9+BB9+BD9+BF9+AR9</f>
        <v>39260.7945</v>
      </c>
      <c r="BH9" s="121">
        <f>BG9</f>
        <v>39260.7945</v>
      </c>
      <c r="BI9" s="121">
        <f>BH9*12</f>
        <v>471129.534</v>
      </c>
    </row>
    <row r="10" ht="18.75" customHeight="1" spans="1:61">
      <c r="A10" s="82">
        <v>2</v>
      </c>
      <c r="B10" s="15" t="s">
        <v>262</v>
      </c>
      <c r="C10" s="16" t="s">
        <v>108</v>
      </c>
      <c r="D10" s="15" t="s">
        <v>59</v>
      </c>
      <c r="E10" s="17" t="s">
        <v>109</v>
      </c>
      <c r="F10" s="18" t="s">
        <v>110</v>
      </c>
      <c r="G10" s="19">
        <v>3.4</v>
      </c>
      <c r="H10" s="20">
        <v>4.19</v>
      </c>
      <c r="I10" s="105">
        <f t="shared" si="0"/>
        <v>0.28</v>
      </c>
      <c r="J10" s="106"/>
      <c r="K10" s="106"/>
      <c r="L10" s="107"/>
      <c r="M10" s="107">
        <v>3</v>
      </c>
      <c r="N10" s="108">
        <v>2</v>
      </c>
      <c r="O10" s="109">
        <f t="shared" si="1"/>
        <v>5</v>
      </c>
      <c r="P10" s="110">
        <f t="shared" si="2"/>
        <v>0</v>
      </c>
      <c r="Q10" s="121">
        <f t="shared" si="3"/>
        <v>0</v>
      </c>
      <c r="R10" s="121">
        <f t="shared" si="4"/>
        <v>0</v>
      </c>
      <c r="S10" s="121">
        <f t="shared" si="5"/>
        <v>12358.405</v>
      </c>
      <c r="T10" s="121">
        <f t="shared" si="6"/>
        <v>8238.93666666667</v>
      </c>
      <c r="U10" s="121">
        <f t="shared" si="7"/>
        <v>20597.3416666667</v>
      </c>
      <c r="V10" s="122"/>
      <c r="W10" s="121">
        <f t="shared" si="8"/>
        <v>0</v>
      </c>
      <c r="X10" s="121">
        <f t="shared" si="9"/>
        <v>20597.3416666667</v>
      </c>
      <c r="Y10" s="122"/>
      <c r="Z10" s="121">
        <f>($H$4*0.25)*Y10/18</f>
        <v>0</v>
      </c>
      <c r="AA10" s="123"/>
      <c r="AB10" s="93">
        <f>SUM(($H$4*0.25)/18)*AA10</f>
        <v>0</v>
      </c>
      <c r="AC10" s="110"/>
      <c r="AD10" s="110">
        <f>SUM(($H$4*0.25)/18*AC10)</f>
        <v>0</v>
      </c>
      <c r="AE10" s="122"/>
      <c r="AF10" s="93">
        <f>SUM(($H$4*0.2)/18)*AE10</f>
        <v>0</v>
      </c>
      <c r="AG10" s="122"/>
      <c r="AH10" s="126">
        <f>SUM(($H$4*0.2)/18)*AG10</f>
        <v>0</v>
      </c>
      <c r="AI10" s="122"/>
      <c r="AJ10" s="127">
        <f>SUM(($H$4*0.2)/18)*AI10</f>
        <v>0</v>
      </c>
      <c r="AK10" s="95">
        <f t="shared" si="10"/>
        <v>0</v>
      </c>
      <c r="AL10" s="93">
        <f t="shared" si="10"/>
        <v>0</v>
      </c>
      <c r="AM10" s="128"/>
      <c r="AN10" s="110">
        <f>SUM($H$4*0.25)*AM10</f>
        <v>0</v>
      </c>
      <c r="AO10" s="123"/>
      <c r="AP10" s="130">
        <f>SUM($H$4*0.3)*AO10</f>
        <v>0</v>
      </c>
      <c r="AQ10" s="110"/>
      <c r="AR10" s="110">
        <f>SUM($H$4*0.2*AQ10)</f>
        <v>0</v>
      </c>
      <c r="AS10" s="122"/>
      <c r="AT10" s="110">
        <f>SUM($H$4*$H10*AS10/18)</f>
        <v>0</v>
      </c>
      <c r="AU10" s="122"/>
      <c r="AV10" s="110">
        <f>SUM($H$4*$H10*AU10/18)*0.7</f>
        <v>0</v>
      </c>
      <c r="AW10" s="128"/>
      <c r="AX10" s="110">
        <f>SUM($H$4*$H10*AW10/18)*0.3</f>
        <v>0</v>
      </c>
      <c r="AY10" s="122"/>
      <c r="AZ10" s="126">
        <f>SUM(($H$4*0.25)/18)*AY10</f>
        <v>0</v>
      </c>
      <c r="BA10" s="110"/>
      <c r="BB10" s="110">
        <f>SUM($H$4*0.2)*BA10</f>
        <v>0</v>
      </c>
      <c r="BC10" s="110"/>
      <c r="BD10" s="126">
        <f>((($H$4*BC10)/100)*20)/100</f>
        <v>0</v>
      </c>
      <c r="BE10" s="130">
        <f t="shared" si="11"/>
        <v>5</v>
      </c>
      <c r="BF10" s="133">
        <f t="shared" si="12"/>
        <v>6179.2025</v>
      </c>
      <c r="BG10" s="134">
        <f>AL10+AN10+AP10+AT10+AV10+AX10+AZ10+BB10+BD10+BF10+AR10</f>
        <v>6179.2025</v>
      </c>
      <c r="BH10" s="121">
        <f>BG10</f>
        <v>6179.2025</v>
      </c>
      <c r="BI10" s="121">
        <f>BH10*12</f>
        <v>74150.43</v>
      </c>
    </row>
    <row r="11" ht="18.75" customHeight="1" spans="1:61">
      <c r="A11" s="82">
        <v>3</v>
      </c>
      <c r="B11" s="15" t="s">
        <v>125</v>
      </c>
      <c r="C11" s="16" t="s">
        <v>126</v>
      </c>
      <c r="D11" s="15" t="s">
        <v>59</v>
      </c>
      <c r="E11" s="17" t="s">
        <v>109</v>
      </c>
      <c r="F11" s="18" t="s">
        <v>110</v>
      </c>
      <c r="G11" s="19">
        <v>45</v>
      </c>
      <c r="H11" s="16">
        <v>4.73</v>
      </c>
      <c r="I11" s="105">
        <f t="shared" si="0"/>
        <v>1</v>
      </c>
      <c r="J11" s="106"/>
      <c r="K11" s="106"/>
      <c r="L11" s="107"/>
      <c r="M11" s="107">
        <v>18</v>
      </c>
      <c r="N11" s="108"/>
      <c r="O11" s="109">
        <f t="shared" si="1"/>
        <v>18</v>
      </c>
      <c r="P11" s="110">
        <f t="shared" si="2"/>
        <v>0</v>
      </c>
      <c r="Q11" s="121">
        <f t="shared" si="3"/>
        <v>0</v>
      </c>
      <c r="R11" s="121">
        <f t="shared" si="4"/>
        <v>0</v>
      </c>
      <c r="S11" s="121">
        <f t="shared" si="5"/>
        <v>83706.81</v>
      </c>
      <c r="T11" s="121">
        <f t="shared" si="6"/>
        <v>0</v>
      </c>
      <c r="U11" s="121">
        <f t="shared" si="7"/>
        <v>83706.81</v>
      </c>
      <c r="V11" s="122"/>
      <c r="W11" s="121">
        <f t="shared" si="8"/>
        <v>0</v>
      </c>
      <c r="X11" s="121">
        <f t="shared" si="9"/>
        <v>83706.81</v>
      </c>
      <c r="Y11" s="122"/>
      <c r="Z11" s="121">
        <f>($H$4*0.25)*Y11/18</f>
        <v>0</v>
      </c>
      <c r="AA11" s="123"/>
      <c r="AB11" s="93">
        <f>SUM(($H$4*0.25)/18)*AA11</f>
        <v>0</v>
      </c>
      <c r="AC11" s="110"/>
      <c r="AD11" s="110">
        <f>SUM(($H$4*0.25)/18*AC11)</f>
        <v>0</v>
      </c>
      <c r="AE11" s="122"/>
      <c r="AF11" s="93">
        <f>SUM(($H$4*0.2)/18)*AE11</f>
        <v>0</v>
      </c>
      <c r="AG11" s="122"/>
      <c r="AH11" s="126">
        <f>SUM(($H$4*0.2)/18)*AG11</f>
        <v>0</v>
      </c>
      <c r="AI11" s="122"/>
      <c r="AJ11" s="127">
        <f>SUM(($H$4*0.2)/18)*AI11</f>
        <v>0</v>
      </c>
      <c r="AK11" s="95">
        <f t="shared" si="10"/>
        <v>0</v>
      </c>
      <c r="AL11" s="93">
        <f t="shared" si="10"/>
        <v>0</v>
      </c>
      <c r="AM11" s="128"/>
      <c r="AN11" s="110">
        <f>SUM($H$4*0.25)*AM11</f>
        <v>0</v>
      </c>
      <c r="AO11" s="123"/>
      <c r="AP11" s="130">
        <f>SUM($H$4*0.3)*AO11</f>
        <v>0</v>
      </c>
      <c r="AQ11" s="110"/>
      <c r="AR11" s="110">
        <f>SUM($H$4*0.2*AQ11)</f>
        <v>0</v>
      </c>
      <c r="AS11" s="122"/>
      <c r="AT11" s="110">
        <f>SUM($H$4*$H11*AS11/18)</f>
        <v>0</v>
      </c>
      <c r="AU11" s="122"/>
      <c r="AV11" s="110">
        <f>SUM($H$4*$H11*AU11/18)*0.7</f>
        <v>0</v>
      </c>
      <c r="AW11" s="128"/>
      <c r="AX11" s="110">
        <f>SUM($H$4*$H11*AW11/18)*0.3</f>
        <v>0</v>
      </c>
      <c r="AY11" s="122"/>
      <c r="AZ11" s="126">
        <f>SUM(($H$4*0.25)/18)*AY11</f>
        <v>0</v>
      </c>
      <c r="BA11" s="110"/>
      <c r="BB11" s="110">
        <f>SUM($H$4*0.2)*BA11</f>
        <v>0</v>
      </c>
      <c r="BC11" s="110"/>
      <c r="BD11" s="126">
        <f>((($H$4*BC11)/100)*20)/100</f>
        <v>0</v>
      </c>
      <c r="BE11" s="130">
        <f t="shared" si="11"/>
        <v>18</v>
      </c>
      <c r="BF11" s="133">
        <f t="shared" si="12"/>
        <v>25112.043</v>
      </c>
      <c r="BG11" s="134">
        <f>AL11+AN11+AP11+AT11+AV11+AX11+AZ11+BB11+BD11+BF11+AR11</f>
        <v>25112.043</v>
      </c>
      <c r="BH11" s="121">
        <f>BG11</f>
        <v>25112.043</v>
      </c>
      <c r="BI11" s="121">
        <f>BH11*12</f>
        <v>301344.516</v>
      </c>
    </row>
    <row r="12" ht="18.75" customHeight="1" spans="1:61">
      <c r="A12" s="82">
        <v>4</v>
      </c>
      <c r="B12" s="15" t="s">
        <v>356</v>
      </c>
      <c r="C12" s="15" t="s">
        <v>115</v>
      </c>
      <c r="D12" s="15" t="s">
        <v>59</v>
      </c>
      <c r="E12" s="17" t="s">
        <v>109</v>
      </c>
      <c r="F12" s="18" t="s">
        <v>110</v>
      </c>
      <c r="G12" s="19">
        <v>50.11</v>
      </c>
      <c r="H12" s="16">
        <v>4.73</v>
      </c>
      <c r="I12" s="105">
        <f t="shared" si="0"/>
        <v>0.5</v>
      </c>
      <c r="J12" s="88"/>
      <c r="K12" s="88"/>
      <c r="L12" s="107">
        <v>9</v>
      </c>
      <c r="M12" s="107"/>
      <c r="N12" s="88"/>
      <c r="O12" s="111">
        <f t="shared" si="1"/>
        <v>9</v>
      </c>
      <c r="P12" s="110">
        <f t="shared" si="2"/>
        <v>0</v>
      </c>
      <c r="Q12" s="121">
        <f t="shared" si="3"/>
        <v>0</v>
      </c>
      <c r="R12" s="121">
        <f t="shared" si="4"/>
        <v>41853.405</v>
      </c>
      <c r="S12" s="121">
        <f t="shared" si="5"/>
        <v>0</v>
      </c>
      <c r="T12" s="121">
        <f t="shared" si="6"/>
        <v>0</v>
      </c>
      <c r="U12" s="121">
        <f t="shared" si="7"/>
        <v>41853.405</v>
      </c>
      <c r="V12" s="88"/>
      <c r="W12" s="121">
        <f t="shared" si="8"/>
        <v>0</v>
      </c>
      <c r="X12" s="121">
        <f t="shared" si="9"/>
        <v>41853.405</v>
      </c>
      <c r="Y12" s="88">
        <f t="shared" ref="Y12:BD12" si="13">SUM(Y9:Y11)</f>
        <v>0</v>
      </c>
      <c r="Z12" s="88">
        <f t="shared" si="13"/>
        <v>0</v>
      </c>
      <c r="AA12" s="88">
        <f t="shared" si="13"/>
        <v>0</v>
      </c>
      <c r="AB12" s="88">
        <f t="shared" si="13"/>
        <v>0</v>
      </c>
      <c r="AC12" s="88">
        <f t="shared" si="13"/>
        <v>0</v>
      </c>
      <c r="AD12" s="88">
        <f t="shared" si="13"/>
        <v>0</v>
      </c>
      <c r="AE12" s="88">
        <f t="shared" si="13"/>
        <v>0</v>
      </c>
      <c r="AF12" s="88">
        <f t="shared" si="13"/>
        <v>0</v>
      </c>
      <c r="AG12" s="88">
        <f t="shared" si="13"/>
        <v>0</v>
      </c>
      <c r="AH12" s="88">
        <f t="shared" si="13"/>
        <v>0</v>
      </c>
      <c r="AI12" s="88">
        <f t="shared" si="13"/>
        <v>0</v>
      </c>
      <c r="AJ12" s="88">
        <f t="shared" si="13"/>
        <v>0</v>
      </c>
      <c r="AK12" s="88">
        <f t="shared" si="13"/>
        <v>0</v>
      </c>
      <c r="AL12" s="88">
        <f t="shared" si="13"/>
        <v>0</v>
      </c>
      <c r="AM12" s="88">
        <f t="shared" si="13"/>
        <v>0</v>
      </c>
      <c r="AN12" s="88">
        <f t="shared" si="13"/>
        <v>0</v>
      </c>
      <c r="AO12" s="88">
        <f t="shared" si="13"/>
        <v>0</v>
      </c>
      <c r="AP12" s="88">
        <f t="shared" si="13"/>
        <v>0</v>
      </c>
      <c r="AQ12" s="88">
        <f t="shared" si="13"/>
        <v>0</v>
      </c>
      <c r="AR12" s="88">
        <f t="shared" si="13"/>
        <v>0</v>
      </c>
      <c r="AS12" s="88">
        <f t="shared" si="13"/>
        <v>0</v>
      </c>
      <c r="AT12" s="88">
        <f t="shared" si="13"/>
        <v>0</v>
      </c>
      <c r="AU12" s="88">
        <f t="shared" si="13"/>
        <v>0</v>
      </c>
      <c r="AV12" s="88">
        <f t="shared" si="13"/>
        <v>0</v>
      </c>
      <c r="AW12" s="88">
        <f t="shared" si="13"/>
        <v>0</v>
      </c>
      <c r="AX12" s="88">
        <f t="shared" si="13"/>
        <v>0</v>
      </c>
      <c r="AY12" s="88">
        <f t="shared" si="13"/>
        <v>0</v>
      </c>
      <c r="AZ12" s="88">
        <f t="shared" si="13"/>
        <v>0</v>
      </c>
      <c r="BA12" s="88">
        <f t="shared" si="13"/>
        <v>0</v>
      </c>
      <c r="BB12" s="88">
        <f t="shared" si="13"/>
        <v>0</v>
      </c>
      <c r="BC12" s="88">
        <f t="shared" si="13"/>
        <v>0</v>
      </c>
      <c r="BD12" s="88">
        <f t="shared" si="13"/>
        <v>0</v>
      </c>
      <c r="BE12" s="135">
        <f t="shared" si="11"/>
        <v>9</v>
      </c>
      <c r="BF12" s="133">
        <f t="shared" si="12"/>
        <v>12556.0215</v>
      </c>
      <c r="BG12" s="134">
        <f>AL12+AN12+AP12+AT12+AV12+AX12+AZ12+BB12+BD12+BF12+AR12</f>
        <v>12556.0215</v>
      </c>
      <c r="BH12" s="121">
        <f>BG12</f>
        <v>12556.0215</v>
      </c>
      <c r="BI12" s="121">
        <f>BH12*12</f>
        <v>150672.258</v>
      </c>
    </row>
    <row r="13" ht="18.75" customHeight="1" spans="1:61">
      <c r="A13" s="83">
        <v>5</v>
      </c>
      <c r="B13" s="15" t="s">
        <v>128</v>
      </c>
      <c r="C13" s="21" t="s">
        <v>357</v>
      </c>
      <c r="D13" s="15" t="s">
        <v>59</v>
      </c>
      <c r="E13" s="17" t="s">
        <v>109</v>
      </c>
      <c r="F13" s="18" t="s">
        <v>110</v>
      </c>
      <c r="G13" s="19" t="s">
        <v>130</v>
      </c>
      <c r="H13" s="84">
        <v>4.73</v>
      </c>
      <c r="I13" s="105">
        <f t="shared" si="0"/>
        <v>1.61</v>
      </c>
      <c r="J13" s="112"/>
      <c r="K13" s="112"/>
      <c r="L13" s="107">
        <v>7</v>
      </c>
      <c r="M13" s="107">
        <v>22</v>
      </c>
      <c r="N13" s="113"/>
      <c r="O13" s="109">
        <f t="shared" si="1"/>
        <v>29</v>
      </c>
      <c r="P13" s="110">
        <f t="shared" si="2"/>
        <v>0</v>
      </c>
      <c r="Q13" s="121">
        <f t="shared" si="3"/>
        <v>0</v>
      </c>
      <c r="R13" s="121">
        <f t="shared" si="4"/>
        <v>32552.6483333333</v>
      </c>
      <c r="S13" s="121">
        <f t="shared" si="5"/>
        <v>102308.323333333</v>
      </c>
      <c r="T13" s="121">
        <f t="shared" si="6"/>
        <v>0</v>
      </c>
      <c r="U13" s="121">
        <f t="shared" si="7"/>
        <v>134860.971666667</v>
      </c>
      <c r="V13" s="122"/>
      <c r="W13" s="121">
        <f t="shared" si="8"/>
        <v>0</v>
      </c>
      <c r="X13" s="121">
        <f t="shared" si="9"/>
        <v>134860.971666667</v>
      </c>
      <c r="Y13" s="122"/>
      <c r="Z13" s="121"/>
      <c r="AA13" s="123"/>
      <c r="AB13" s="93"/>
      <c r="AC13" s="110"/>
      <c r="AD13" s="110"/>
      <c r="AE13" s="122"/>
      <c r="AF13" s="93"/>
      <c r="AG13" s="122"/>
      <c r="AH13" s="126"/>
      <c r="AI13" s="122"/>
      <c r="AJ13" s="127"/>
      <c r="AK13" s="95"/>
      <c r="AL13" s="93"/>
      <c r="AM13" s="128"/>
      <c r="AN13" s="110"/>
      <c r="AO13" s="123"/>
      <c r="AP13" s="130"/>
      <c r="AQ13" s="110"/>
      <c r="AR13" s="110"/>
      <c r="AS13" s="122"/>
      <c r="AT13" s="110">
        <f>SUM($H$4*$H13*AS13/18)</f>
        <v>0</v>
      </c>
      <c r="AU13" s="122"/>
      <c r="AV13" s="110">
        <f>SUM($H$4*$H13*AU13/18)*0.7</f>
        <v>0</v>
      </c>
      <c r="AW13" s="128"/>
      <c r="AX13" s="110">
        <f>SUM($H$4*$H13*AW13/18)*0.3</f>
        <v>0</v>
      </c>
      <c r="AY13" s="122"/>
      <c r="AZ13" s="126"/>
      <c r="BA13" s="110"/>
      <c r="BB13" s="110"/>
      <c r="BC13" s="110"/>
      <c r="BD13" s="126"/>
      <c r="BE13" s="130">
        <f t="shared" si="11"/>
        <v>29</v>
      </c>
      <c r="BF13" s="133">
        <f t="shared" si="12"/>
        <v>40458.2915</v>
      </c>
      <c r="BG13" s="134">
        <f t="shared" ref="BG13:BG15" si="14">AL13+AN13+AP13+AT13+AV13+AX13+AZ13+BB13+BD13+BF13+AR13</f>
        <v>40458.2915</v>
      </c>
      <c r="BH13" s="121">
        <f t="shared" ref="BH13:BH15" si="15">BG13</f>
        <v>40458.2915</v>
      </c>
      <c r="BI13" s="121">
        <f t="shared" ref="BI13:BI15" si="16">BH13*12</f>
        <v>485499.498</v>
      </c>
    </row>
    <row r="14" ht="18.75" customHeight="1" spans="1:61">
      <c r="A14" s="83">
        <v>6</v>
      </c>
      <c r="B14" s="15" t="s">
        <v>131</v>
      </c>
      <c r="C14" s="21" t="s">
        <v>68</v>
      </c>
      <c r="D14" s="15" t="s">
        <v>59</v>
      </c>
      <c r="E14" s="17" t="s">
        <v>109</v>
      </c>
      <c r="F14" s="18" t="s">
        <v>110</v>
      </c>
      <c r="G14" s="19">
        <v>4.4</v>
      </c>
      <c r="H14" s="84">
        <v>4.74</v>
      </c>
      <c r="I14" s="105">
        <f t="shared" si="0"/>
        <v>0.83</v>
      </c>
      <c r="J14" s="112"/>
      <c r="K14" s="112"/>
      <c r="L14" s="107"/>
      <c r="M14" s="107">
        <v>15</v>
      </c>
      <c r="N14" s="113"/>
      <c r="O14" s="109">
        <f t="shared" si="1"/>
        <v>15</v>
      </c>
      <c r="P14" s="110">
        <f t="shared" si="2"/>
        <v>0</v>
      </c>
      <c r="Q14" s="121">
        <f t="shared" si="3"/>
        <v>0</v>
      </c>
      <c r="R14" s="121">
        <f t="shared" si="4"/>
        <v>0</v>
      </c>
      <c r="S14" s="121">
        <f t="shared" si="5"/>
        <v>69903.15</v>
      </c>
      <c r="T14" s="121">
        <f t="shared" si="6"/>
        <v>0</v>
      </c>
      <c r="U14" s="121">
        <f t="shared" si="7"/>
        <v>69903.15</v>
      </c>
      <c r="V14" s="122"/>
      <c r="W14" s="121">
        <f t="shared" si="8"/>
        <v>0</v>
      </c>
      <c r="X14" s="121">
        <f t="shared" si="9"/>
        <v>69903.15</v>
      </c>
      <c r="Y14" s="122"/>
      <c r="Z14" s="121"/>
      <c r="AA14" s="123"/>
      <c r="AB14" s="93"/>
      <c r="AC14" s="110"/>
      <c r="AD14" s="110"/>
      <c r="AE14" s="122"/>
      <c r="AF14" s="93"/>
      <c r="AG14" s="122"/>
      <c r="AH14" s="126"/>
      <c r="AI14" s="122"/>
      <c r="AJ14" s="127"/>
      <c r="AK14" s="95"/>
      <c r="AL14" s="93"/>
      <c r="AM14" s="128"/>
      <c r="AN14" s="110"/>
      <c r="AO14" s="123"/>
      <c r="AP14" s="130"/>
      <c r="AQ14" s="110"/>
      <c r="AR14" s="110"/>
      <c r="AS14" s="122"/>
      <c r="AT14" s="110"/>
      <c r="AU14" s="122"/>
      <c r="AV14" s="110"/>
      <c r="AW14" s="128"/>
      <c r="AX14" s="110"/>
      <c r="AY14" s="122"/>
      <c r="AZ14" s="126"/>
      <c r="BA14" s="110"/>
      <c r="BB14" s="110"/>
      <c r="BC14" s="110"/>
      <c r="BD14" s="126"/>
      <c r="BE14" s="130">
        <f t="shared" si="11"/>
        <v>15</v>
      </c>
      <c r="BF14" s="133">
        <f t="shared" si="12"/>
        <v>20970.945</v>
      </c>
      <c r="BG14" s="134">
        <f t="shared" si="14"/>
        <v>20970.945</v>
      </c>
      <c r="BH14" s="121">
        <f t="shared" si="15"/>
        <v>20970.945</v>
      </c>
      <c r="BI14" s="121">
        <f t="shared" si="16"/>
        <v>251651.34</v>
      </c>
    </row>
    <row r="15" ht="18.75" customHeight="1" spans="1:61">
      <c r="A15" s="83">
        <v>7</v>
      </c>
      <c r="B15" s="15" t="s">
        <v>271</v>
      </c>
      <c r="C15" s="21" t="s">
        <v>358</v>
      </c>
      <c r="D15" s="15" t="s">
        <v>359</v>
      </c>
      <c r="E15" s="85" t="s">
        <v>136</v>
      </c>
      <c r="F15" s="18" t="s">
        <v>127</v>
      </c>
      <c r="G15" s="86" t="s">
        <v>130</v>
      </c>
      <c r="H15" s="20">
        <v>3.73</v>
      </c>
      <c r="I15" s="105">
        <f t="shared" si="0"/>
        <v>1.22</v>
      </c>
      <c r="J15" s="112"/>
      <c r="K15" s="112"/>
      <c r="L15" s="107">
        <v>4</v>
      </c>
      <c r="M15" s="107">
        <v>18</v>
      </c>
      <c r="N15" s="113"/>
      <c r="O15" s="109">
        <f t="shared" si="1"/>
        <v>22</v>
      </c>
      <c r="P15" s="110"/>
      <c r="Q15" s="121">
        <f t="shared" si="3"/>
        <v>0</v>
      </c>
      <c r="R15" s="121">
        <f t="shared" si="4"/>
        <v>14668.8466666667</v>
      </c>
      <c r="S15" s="121">
        <f t="shared" si="5"/>
        <v>66009.81</v>
      </c>
      <c r="T15" s="121">
        <f t="shared" si="6"/>
        <v>0</v>
      </c>
      <c r="U15" s="121">
        <f t="shared" si="7"/>
        <v>80678.6566666667</v>
      </c>
      <c r="V15" s="122"/>
      <c r="W15" s="121">
        <f t="shared" si="8"/>
        <v>0</v>
      </c>
      <c r="X15" s="121">
        <f t="shared" si="9"/>
        <v>80678.6566666667</v>
      </c>
      <c r="Y15" s="122"/>
      <c r="Z15" s="121"/>
      <c r="AA15" s="123"/>
      <c r="AB15" s="93"/>
      <c r="AC15" s="110"/>
      <c r="AD15" s="110"/>
      <c r="AE15" s="122"/>
      <c r="AF15" s="93"/>
      <c r="AG15" s="122"/>
      <c r="AH15" s="126"/>
      <c r="AI15" s="122"/>
      <c r="AJ15" s="127"/>
      <c r="AK15" s="95"/>
      <c r="AL15" s="93"/>
      <c r="AM15" s="128"/>
      <c r="AN15" s="110"/>
      <c r="AO15" s="123"/>
      <c r="AP15" s="130"/>
      <c r="AQ15" s="110"/>
      <c r="AR15" s="110"/>
      <c r="AS15" s="122"/>
      <c r="AT15" s="110"/>
      <c r="AU15" s="122"/>
      <c r="AV15" s="110"/>
      <c r="AW15" s="128"/>
      <c r="AX15" s="110"/>
      <c r="AY15" s="122"/>
      <c r="AZ15" s="126"/>
      <c r="BA15" s="110"/>
      <c r="BB15" s="110"/>
      <c r="BC15" s="110"/>
      <c r="BD15" s="126"/>
      <c r="BE15" s="130">
        <f t="shared" si="11"/>
        <v>22</v>
      </c>
      <c r="BF15" s="133">
        <f t="shared" si="12"/>
        <v>24203.597</v>
      </c>
      <c r="BG15" s="134">
        <f t="shared" si="14"/>
        <v>24203.597</v>
      </c>
      <c r="BH15" s="121">
        <f t="shared" si="15"/>
        <v>24203.597</v>
      </c>
      <c r="BI15" s="121">
        <f t="shared" si="16"/>
        <v>290443.164</v>
      </c>
    </row>
    <row r="16" ht="18.75" customHeight="1" spans="1:61">
      <c r="A16" s="87"/>
      <c r="B16" s="88" t="s">
        <v>353</v>
      </c>
      <c r="C16" s="89"/>
      <c r="D16" s="89"/>
      <c r="E16" s="90"/>
      <c r="F16" s="91"/>
      <c r="G16" s="92"/>
      <c r="H16" s="93"/>
      <c r="I16" s="88">
        <f t="shared" ref="I16:AN16" si="17">SUM(I9:I15)</f>
        <v>7.05</v>
      </c>
      <c r="J16" s="88">
        <f t="shared" si="17"/>
        <v>0</v>
      </c>
      <c r="K16" s="88">
        <f t="shared" si="17"/>
        <v>4</v>
      </c>
      <c r="L16" s="88">
        <f t="shared" si="17"/>
        <v>28</v>
      </c>
      <c r="M16" s="88">
        <f t="shared" si="17"/>
        <v>91</v>
      </c>
      <c r="N16" s="88">
        <f t="shared" si="17"/>
        <v>5</v>
      </c>
      <c r="O16" s="88">
        <f t="shared" si="17"/>
        <v>128</v>
      </c>
      <c r="P16" s="88">
        <f t="shared" si="17"/>
        <v>0</v>
      </c>
      <c r="Q16" s="88">
        <f t="shared" si="17"/>
        <v>13538.205</v>
      </c>
      <c r="R16" s="88">
        <f t="shared" si="17"/>
        <v>125176.78</v>
      </c>
      <c r="S16" s="88">
        <f t="shared" si="17"/>
        <v>401977.523333333</v>
      </c>
      <c r="T16" s="88">
        <f t="shared" si="17"/>
        <v>21777.1416666667</v>
      </c>
      <c r="U16" s="88">
        <f t="shared" si="17"/>
        <v>562469.65</v>
      </c>
      <c r="V16" s="88">
        <f t="shared" si="17"/>
        <v>0</v>
      </c>
      <c r="W16" s="88">
        <f t="shared" si="17"/>
        <v>0</v>
      </c>
      <c r="X16" s="88">
        <f t="shared" si="17"/>
        <v>562469.65</v>
      </c>
      <c r="Y16" s="88">
        <f t="shared" si="17"/>
        <v>0</v>
      </c>
      <c r="Z16" s="88">
        <f t="shared" si="17"/>
        <v>0</v>
      </c>
      <c r="AA16" s="88">
        <f t="shared" si="17"/>
        <v>0</v>
      </c>
      <c r="AB16" s="88">
        <f t="shared" si="17"/>
        <v>0</v>
      </c>
      <c r="AC16" s="88">
        <f t="shared" si="17"/>
        <v>0</v>
      </c>
      <c r="AD16" s="88">
        <f t="shared" si="17"/>
        <v>0</v>
      </c>
      <c r="AE16" s="88">
        <f t="shared" si="17"/>
        <v>0</v>
      </c>
      <c r="AF16" s="88">
        <f t="shared" si="17"/>
        <v>0</v>
      </c>
      <c r="AG16" s="88">
        <f t="shared" si="17"/>
        <v>0</v>
      </c>
      <c r="AH16" s="88">
        <f t="shared" si="17"/>
        <v>0</v>
      </c>
      <c r="AI16" s="88">
        <f t="shared" si="17"/>
        <v>0</v>
      </c>
      <c r="AJ16" s="88">
        <f t="shared" si="17"/>
        <v>0</v>
      </c>
      <c r="AK16" s="88">
        <f t="shared" si="17"/>
        <v>0</v>
      </c>
      <c r="AL16" s="88">
        <f t="shared" si="17"/>
        <v>0</v>
      </c>
      <c r="AM16" s="88">
        <f t="shared" si="17"/>
        <v>0</v>
      </c>
      <c r="AN16" s="88">
        <f t="shared" si="17"/>
        <v>0</v>
      </c>
      <c r="AO16" s="88">
        <f t="shared" ref="AO16:BI16" si="18">SUM(AO9:AO15)</f>
        <v>0</v>
      </c>
      <c r="AP16" s="88">
        <f t="shared" si="18"/>
        <v>0</v>
      </c>
      <c r="AQ16" s="88">
        <f t="shared" si="18"/>
        <v>0</v>
      </c>
      <c r="AR16" s="88">
        <f t="shared" si="18"/>
        <v>0</v>
      </c>
      <c r="AS16" s="88">
        <f t="shared" si="18"/>
        <v>0</v>
      </c>
      <c r="AT16" s="88">
        <f t="shared" si="18"/>
        <v>0</v>
      </c>
      <c r="AU16" s="88">
        <f t="shared" si="18"/>
        <v>0</v>
      </c>
      <c r="AV16" s="88">
        <f t="shared" si="18"/>
        <v>0</v>
      </c>
      <c r="AW16" s="88">
        <f t="shared" si="18"/>
        <v>0</v>
      </c>
      <c r="AX16" s="88">
        <f t="shared" si="18"/>
        <v>0</v>
      </c>
      <c r="AY16" s="88">
        <f t="shared" si="18"/>
        <v>0</v>
      </c>
      <c r="AZ16" s="88">
        <f t="shared" si="18"/>
        <v>0</v>
      </c>
      <c r="BA16" s="88">
        <f t="shared" si="18"/>
        <v>0</v>
      </c>
      <c r="BB16" s="88">
        <f t="shared" si="18"/>
        <v>0</v>
      </c>
      <c r="BC16" s="88">
        <f t="shared" si="18"/>
        <v>0</v>
      </c>
      <c r="BD16" s="88">
        <f t="shared" si="18"/>
        <v>0</v>
      </c>
      <c r="BE16" s="88">
        <f t="shared" si="18"/>
        <v>128</v>
      </c>
      <c r="BF16" s="88">
        <f t="shared" si="18"/>
        <v>168740.895</v>
      </c>
      <c r="BG16" s="88">
        <f t="shared" si="18"/>
        <v>168740.895</v>
      </c>
      <c r="BH16" s="88">
        <f t="shared" si="18"/>
        <v>168740.895</v>
      </c>
      <c r="BI16" s="88">
        <f t="shared" si="18"/>
        <v>2024890.74</v>
      </c>
    </row>
    <row r="17" ht="20.1" customHeight="1" spans="1:61">
      <c r="A17" s="94"/>
      <c r="B17" s="95" t="s">
        <v>142</v>
      </c>
      <c r="C17" s="95"/>
      <c r="D17" s="95"/>
      <c r="E17" s="95"/>
      <c r="F17" s="96"/>
      <c r="G17" s="95"/>
      <c r="H17" s="93"/>
      <c r="I17" s="88">
        <f>SUM(I16)</f>
        <v>7.05</v>
      </c>
      <c r="J17" s="88">
        <f t="shared" ref="J17:BI17" si="19">SUM(J16)</f>
        <v>0</v>
      </c>
      <c r="K17" s="88">
        <f t="shared" si="19"/>
        <v>4</v>
      </c>
      <c r="L17" s="88">
        <f t="shared" si="19"/>
        <v>28</v>
      </c>
      <c r="M17" s="88">
        <f t="shared" si="19"/>
        <v>91</v>
      </c>
      <c r="N17" s="88">
        <f t="shared" si="19"/>
        <v>5</v>
      </c>
      <c r="O17" s="88">
        <f t="shared" si="19"/>
        <v>128</v>
      </c>
      <c r="P17" s="88">
        <f t="shared" si="19"/>
        <v>0</v>
      </c>
      <c r="Q17" s="88">
        <f t="shared" si="19"/>
        <v>13538.205</v>
      </c>
      <c r="R17" s="88">
        <f t="shared" si="19"/>
        <v>125176.78</v>
      </c>
      <c r="S17" s="88">
        <f t="shared" si="19"/>
        <v>401977.523333333</v>
      </c>
      <c r="T17" s="88">
        <f t="shared" si="19"/>
        <v>21777.1416666667</v>
      </c>
      <c r="U17" s="88">
        <f t="shared" si="19"/>
        <v>562469.65</v>
      </c>
      <c r="V17" s="88">
        <f t="shared" si="19"/>
        <v>0</v>
      </c>
      <c r="W17" s="88">
        <f t="shared" si="19"/>
        <v>0</v>
      </c>
      <c r="X17" s="88">
        <f t="shared" si="19"/>
        <v>562469.65</v>
      </c>
      <c r="Y17" s="88">
        <f t="shared" si="19"/>
        <v>0</v>
      </c>
      <c r="Z17" s="88">
        <f t="shared" si="19"/>
        <v>0</v>
      </c>
      <c r="AA17" s="88">
        <f t="shared" si="19"/>
        <v>0</v>
      </c>
      <c r="AB17" s="88">
        <f t="shared" si="19"/>
        <v>0</v>
      </c>
      <c r="AC17" s="88">
        <f t="shared" si="19"/>
        <v>0</v>
      </c>
      <c r="AD17" s="88">
        <f t="shared" si="19"/>
        <v>0</v>
      </c>
      <c r="AE17" s="88">
        <f t="shared" si="19"/>
        <v>0</v>
      </c>
      <c r="AF17" s="88">
        <f t="shared" si="19"/>
        <v>0</v>
      </c>
      <c r="AG17" s="88">
        <f t="shared" si="19"/>
        <v>0</v>
      </c>
      <c r="AH17" s="88">
        <f t="shared" si="19"/>
        <v>0</v>
      </c>
      <c r="AI17" s="88">
        <f t="shared" si="19"/>
        <v>0</v>
      </c>
      <c r="AJ17" s="88">
        <f t="shared" si="19"/>
        <v>0</v>
      </c>
      <c r="AK17" s="88">
        <f t="shared" si="19"/>
        <v>0</v>
      </c>
      <c r="AL17" s="88">
        <f t="shared" si="19"/>
        <v>0</v>
      </c>
      <c r="AM17" s="88">
        <f t="shared" si="19"/>
        <v>0</v>
      </c>
      <c r="AN17" s="88">
        <f t="shared" si="19"/>
        <v>0</v>
      </c>
      <c r="AO17" s="88">
        <f t="shared" si="19"/>
        <v>0</v>
      </c>
      <c r="AP17" s="88">
        <f t="shared" si="19"/>
        <v>0</v>
      </c>
      <c r="AQ17" s="88">
        <f t="shared" si="19"/>
        <v>0</v>
      </c>
      <c r="AR17" s="88">
        <f t="shared" si="19"/>
        <v>0</v>
      </c>
      <c r="AS17" s="88">
        <f t="shared" si="19"/>
        <v>0</v>
      </c>
      <c r="AT17" s="88">
        <f t="shared" si="19"/>
        <v>0</v>
      </c>
      <c r="AU17" s="88">
        <f t="shared" si="19"/>
        <v>0</v>
      </c>
      <c r="AV17" s="88">
        <f t="shared" si="19"/>
        <v>0</v>
      </c>
      <c r="AW17" s="88">
        <f t="shared" si="19"/>
        <v>0</v>
      </c>
      <c r="AX17" s="88">
        <f t="shared" si="19"/>
        <v>0</v>
      </c>
      <c r="AY17" s="88">
        <f t="shared" si="19"/>
        <v>0</v>
      </c>
      <c r="AZ17" s="88">
        <f t="shared" si="19"/>
        <v>0</v>
      </c>
      <c r="BA17" s="88">
        <f t="shared" si="19"/>
        <v>0</v>
      </c>
      <c r="BB17" s="88">
        <f t="shared" si="19"/>
        <v>0</v>
      </c>
      <c r="BC17" s="88">
        <f t="shared" si="19"/>
        <v>0</v>
      </c>
      <c r="BD17" s="88">
        <f t="shared" si="19"/>
        <v>0</v>
      </c>
      <c r="BE17" s="88">
        <f t="shared" si="19"/>
        <v>128</v>
      </c>
      <c r="BF17" s="88">
        <f t="shared" si="19"/>
        <v>168740.895</v>
      </c>
      <c r="BG17" s="88">
        <f t="shared" si="19"/>
        <v>168740.895</v>
      </c>
      <c r="BH17" s="88">
        <f t="shared" si="19"/>
        <v>168740.895</v>
      </c>
      <c r="BI17" s="88">
        <f t="shared" si="19"/>
        <v>2024890.74</v>
      </c>
    </row>
    <row r="18" ht="15.75" spans="1:61">
      <c r="A18" s="97"/>
      <c r="B18" s="98"/>
      <c r="C18" s="98"/>
      <c r="D18" s="98"/>
      <c r="E18" s="98"/>
      <c r="F18" s="99"/>
      <c r="G18" s="98"/>
      <c r="H18" s="98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</row>
    <row r="19" ht="15.75" spans="1:95">
      <c r="A19" s="98"/>
      <c r="B19" s="100"/>
      <c r="C19" s="101" t="s">
        <v>340</v>
      </c>
      <c r="D19" s="101"/>
      <c r="E19" s="38" t="s">
        <v>298</v>
      </c>
      <c r="F19" s="102"/>
      <c r="G19" s="103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54"/>
      <c r="T19" s="101" t="s">
        <v>143</v>
      </c>
      <c r="U19" s="101"/>
      <c r="V19" s="54"/>
      <c r="W19" s="103"/>
      <c r="X19" s="103" t="s">
        <v>144</v>
      </c>
      <c r="Y19" s="103" t="s">
        <v>341</v>
      </c>
      <c r="Z19" s="54"/>
      <c r="AA19" s="54"/>
      <c r="AB19" s="54"/>
      <c r="AC19" s="54"/>
      <c r="AD19" s="54"/>
      <c r="AE19" s="124"/>
      <c r="AF19" s="54"/>
      <c r="AG19" s="124"/>
      <c r="AH19" s="54"/>
      <c r="AI19" s="12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101" t="s">
        <v>342</v>
      </c>
      <c r="BG19" s="101"/>
      <c r="BH19" s="54" t="s">
        <v>148</v>
      </c>
      <c r="BI19" s="103"/>
      <c r="BJ19" s="103"/>
      <c r="BK19" s="103"/>
      <c r="BL19" s="54"/>
      <c r="BM19" s="54"/>
      <c r="BN19" s="54"/>
      <c r="BO19" s="54"/>
      <c r="BP19" s="54"/>
      <c r="BQ19" s="124"/>
      <c r="BR19" s="54"/>
      <c r="BS19" s="124"/>
      <c r="BT19" s="54"/>
      <c r="BU19" s="12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ht="15.75" spans="1:61">
      <c r="A20" s="98"/>
      <c r="B20" s="100"/>
      <c r="C20" s="101"/>
      <c r="D20" s="101"/>
      <c r="E20" s="38"/>
      <c r="F20" s="102"/>
      <c r="G20" s="103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54"/>
      <c r="T20" s="101"/>
      <c r="U20" s="101"/>
      <c r="V20" s="54"/>
      <c r="W20" s="103"/>
      <c r="X20" s="103"/>
      <c r="Y20" s="103"/>
      <c r="Z20" s="54"/>
      <c r="AA20" s="54"/>
      <c r="AB20" s="54"/>
      <c r="AC20" s="54"/>
      <c r="AD20" s="54"/>
      <c r="AE20" s="124"/>
      <c r="AF20" s="54"/>
      <c r="AG20" s="124"/>
      <c r="AH20" s="54"/>
      <c r="AI20" s="12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</row>
    <row r="21" ht="15.75" spans="1:61">
      <c r="A21" s="54"/>
      <c r="B21" s="54"/>
      <c r="C21" s="103" t="s">
        <v>149</v>
      </c>
      <c r="D21" s="103"/>
      <c r="E21" s="38" t="s">
        <v>354</v>
      </c>
      <c r="F21" s="102"/>
      <c r="G21" s="103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54"/>
      <c r="T21" s="101" t="s">
        <v>360</v>
      </c>
      <c r="U21" s="101"/>
      <c r="V21" s="54"/>
      <c r="W21" s="103"/>
      <c r="X21" s="103" t="s">
        <v>344</v>
      </c>
      <c r="Y21" s="103" t="s">
        <v>343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</row>
    <row r="22" ht="15.75" spans="1:61">
      <c r="A22" s="54"/>
      <c r="B22" s="54"/>
      <c r="C22" s="103"/>
      <c r="D22" s="103"/>
      <c r="E22" s="103"/>
      <c r="F22" s="103"/>
      <c r="G22" s="103"/>
      <c r="H22" s="103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54"/>
      <c r="T22" s="101"/>
      <c r="U22" s="101"/>
      <c r="V22" s="54"/>
      <c r="W22" s="103"/>
      <c r="X22" s="103"/>
      <c r="Y22" s="10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</row>
    <row r="23" ht="15.75" spans="1:61">
      <c r="A23" s="54"/>
      <c r="B23" s="54"/>
      <c r="C23" s="103" t="s">
        <v>153</v>
      </c>
      <c r="D23" s="103"/>
      <c r="E23" s="103" t="s">
        <v>345</v>
      </c>
      <c r="F23" s="101"/>
      <c r="G23" s="103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54"/>
      <c r="T23" s="101" t="s">
        <v>151</v>
      </c>
      <c r="U23" s="101"/>
      <c r="V23" s="54"/>
      <c r="W23" s="103"/>
      <c r="X23" s="103" t="s">
        <v>152</v>
      </c>
      <c r="Y23" s="103" t="s">
        <v>152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</row>
    <row r="24" ht="15.75" spans="1:61">
      <c r="A24" s="5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ht="15.75" spans="1:61">
      <c r="A25" s="5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ht="15.75" spans="1:6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ht="15.75" spans="1:1">
      <c r="A27" s="1"/>
    </row>
    <row r="28" ht="15.75" spans="1:1">
      <c r="A28" s="1"/>
    </row>
  </sheetData>
  <mergeCells count="34">
    <mergeCell ref="B1:D1"/>
    <mergeCell ref="B2:K2"/>
    <mergeCell ref="B3:F3"/>
    <mergeCell ref="K3:T3"/>
    <mergeCell ref="K4:T4"/>
    <mergeCell ref="E5:F5"/>
    <mergeCell ref="I5:O5"/>
    <mergeCell ref="J6:O6"/>
    <mergeCell ref="V6:W6"/>
    <mergeCell ref="Y6:AK6"/>
    <mergeCell ref="AM6:AP6"/>
    <mergeCell ref="AQ6:AR6"/>
    <mergeCell ref="AS6:AT6"/>
    <mergeCell ref="AU6:AV6"/>
    <mergeCell ref="AW6:AX6"/>
    <mergeCell ref="AY6:AZ6"/>
    <mergeCell ref="BA6:BB6"/>
    <mergeCell ref="BC6:BD6"/>
    <mergeCell ref="BE6:BF6"/>
    <mergeCell ref="T23:U23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X6:X7"/>
    <mergeCell ref="BG6:BG7"/>
    <mergeCell ref="BH5:BH7"/>
    <mergeCell ref="BI5:BI7"/>
    <mergeCell ref="P5:U6"/>
  </mergeCells>
  <pageMargins left="0.708661417322835" right="0.708661417322835" top="0.748031496062992" bottom="0.748031496062992" header="0.31496062992126" footer="0.31496062992126"/>
  <pageSetup paperSize="9" scale="62" fitToWidth="2" orientation="landscape"/>
  <headerFooter/>
  <colBreaks count="1" manualBreakCount="1">
    <brk id="1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учителя</vt:lpstr>
      <vt:lpstr>учителя 50</vt:lpstr>
      <vt:lpstr>Адмхоз</vt:lpstr>
      <vt:lpstr>Адмхоз 50</vt:lpstr>
      <vt:lpstr>нагрузка</vt:lpstr>
      <vt:lpstr>квалификационный тест</vt:lpstr>
      <vt:lpstr>учителя допка на препод наин яз</vt:lpstr>
      <vt:lpstr>учителя допка 30 % (2)</vt:lpstr>
      <vt:lpstr>учителя допка 30 % без сертиф</vt:lpstr>
      <vt:lpstr>магистры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ЛюбовьЮрьевна</cp:lastModifiedBy>
  <dcterms:created xsi:type="dcterms:W3CDTF">2016-06-22T11:28:00Z</dcterms:created>
  <cp:lastPrinted>2021-01-22T03:23:00Z</cp:lastPrinted>
  <dcterms:modified xsi:type="dcterms:W3CDTF">2023-07-05T06:22:48Z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632CB98B82794E2B8464E488369AF10E</vt:lpwstr>
  </property>
  <property fmtid="{D5CDD505-2E9C-101B-9397-08002B2CF9AE}" pid="3" name="KSOProductBuildVer">
    <vt:lpwstr>1049-11.2.0.11537</vt:lpwstr>
  </property>
</Properties>
</file>